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45" activeTab="2"/>
  </bookViews>
  <sheets>
    <sheet name="CityCounty Sales Tax" sheetId="1" r:id="rId1"/>
    <sheet name="Use Tax" sheetId="2" r:id="rId2"/>
    <sheet name="Budget var" sheetId="3" r:id="rId3"/>
    <sheet name="Proj var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'CityCounty Sales Tax'!$A$2:$P$43</definedName>
  </definedNames>
  <calcPr fullCalcOnLoad="1" fullPrecision="0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F9" authorId="0">
      <text>
        <r>
          <rPr>
            <b/>
            <sz val="8"/>
            <rFont val="Tahoma"/>
            <family val="2"/>
          </rPr>
          <t>First County-wide sales tax distribution</t>
        </r>
      </text>
    </comment>
  </commentList>
</comments>
</file>

<file path=xl/sharedStrings.xml><?xml version="1.0" encoding="utf-8"?>
<sst xmlns="http://schemas.openxmlformats.org/spreadsheetml/2006/main" count="363" uniqueCount="45">
  <si>
    <t>City of Lawrence</t>
  </si>
  <si>
    <t>City Sales Tax by Month</t>
  </si>
  <si>
    <t xml:space="preserve">     (Cash Basis)</t>
  </si>
  <si>
    <t>Month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</si>
  <si>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</si>
  <si>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</si>
  <si>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</si>
  <si>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</si>
  <si>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</si>
  <si>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</si>
  <si>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</si>
  <si>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</si>
  <si>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</si>
  <si>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</si>
  <si>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</si>
  <si>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</si>
  <si>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</si>
  <si>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County-wide Sales Tax by Month</t>
  </si>
  <si>
    <t xml:space="preserve"> </t>
  </si>
  <si>
    <t>Budgeted</t>
  </si>
  <si>
    <t>January</t>
  </si>
  <si>
    <t xml:space="preserve">February </t>
  </si>
  <si>
    <t>County</t>
  </si>
  <si>
    <t>City Use Tax</t>
  </si>
  <si>
    <t>(cash basis)</t>
  </si>
  <si>
    <t>County Use Tax</t>
  </si>
  <si>
    <t>.</t>
  </si>
  <si>
    <t>Growth percentage</t>
  </si>
  <si>
    <t>Infrastructure Sales Tax by Month</t>
  </si>
  <si>
    <t>Transit Sales Tax by Month</t>
  </si>
  <si>
    <t>Transit Equipment Sales Tax by Month</t>
  </si>
  <si>
    <t>Infrastructure Use Tax</t>
  </si>
  <si>
    <t>Transit Use Tax</t>
  </si>
  <si>
    <t>Transit Equipment Use Tax</t>
  </si>
  <si>
    <t>Sales/Use</t>
  </si>
  <si>
    <t>Budget</t>
  </si>
  <si>
    <t xml:space="preserve">  </t>
  </si>
  <si>
    <t>Over</t>
  </si>
  <si>
    <t>(Under)</t>
  </si>
  <si>
    <t>Projection</t>
  </si>
  <si>
    <t>1% City</t>
  </si>
  <si>
    <t>.55% City</t>
  </si>
  <si>
    <t>Monthly sales/use tax projection variance</t>
  </si>
  <si>
    <t>Monthly sales/use tax budget variance</t>
  </si>
  <si>
    <t xml:space="preserve">Projection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</si>
</sst>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"/>
    <numFmt numFmtId="170" formatCode="#,##0.00;[Red]#,##0.00"/>
    <numFmt numFmtId="171" formatCode="&quot;$&quot;#,##0;[Red]&quot;$&quot;#,##0"/>
    <numFmt numFmtId="172" formatCode="0.0"/>
    <numFmt numFmtId="173" formatCode="#,##0.0"/>
    <numFmt numFmtId="174" formatCode="&quot;$&quot;#,##0.00"/>
    <numFmt numFmtId="175" formatCode="&quot;$&quot;#,##0.0"/>
    <numFmt numFmtId="176" formatCode="&quot;$&quot;#,##0.0_);\(&quot;$&quot;#,##0.0\)"/>
    <numFmt numFmtId="177" formatCode="&quot;$&quot;#,##0.000_);\(&quot;$&quot;#,##0.000\)"/>
    <numFmt numFmtId="178" formatCode="&quot;$&quot;#,##0.000"/>
    <numFmt numFmtId="179" formatCode="&quot;$&quot;#,##0.0000"/>
    <numFmt numFmtId="180" formatCode="&quot;$&quot;#,##0.0000_);\(&quot;$&quot;#,##0.0000\)"/>
    <numFmt numFmtId="181" formatCode="0_);\(0\)"/>
    <numFmt numFmtId="182" formatCode="#,##0.0000_);\(#,##0.0000\)"/>
    <numFmt numFmtId="183" formatCode="#,##0.0000"/>
    <numFmt numFmtId="184" formatCode="0.00_);\(0.00\)"/>
    <numFmt numFmtId="185" formatCode="0.0000_);\(0.0000\)"/>
    <numFmt numFmtId="186" formatCode="\-"/>
    <numFmt numFmtId="187" formatCode="_(* #,##0.000_);_(* \(#,##0.000\);_(* &quot;-&quot;???_);_(@_)"/>
    <numFmt numFmtId="188" formatCode="0.0000"/>
    <numFmt numFmtId="189" formatCode="0.000"/>
    <numFmt numFmtId="190" formatCode="0.0%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2"/>
    </font>
    <font>
      <b/>
      <sz val="12"/>
      <name val="MS Sans Serif"/>
      <family val="2"/>
    </font>
    <font>
      <b/>
      <i/>
      <sz val="8"/>
      <color indexed="23"/>
      <name val="MS Sans Serif"/>
      <family val="2"/>
    </font>
    <font>
      <sz val="10"/>
      <name val="MS Sans Serif"/>
      <family val="2"/>
    </font>
    <font>
      <i/>
      <sz val="10"/>
      <name val="MS Sans Serif"/>
      <family val="2"/>
    </font>
    <font>
      <b/>
      <sz val="8"/>
      <name val="Tahom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5" fontId="0" fillId="0" borderId="0" xfId="0" applyNumberFormat="1" applyFont="1" applyFill="1" applyBorder="1" applyAlignment="1">
      <alignment/>
    </xf>
    <xf numFmtId="5" fontId="0" fillId="0" borderId="0" xfId="0" applyNumberFormat="1" applyAlignment="1">
      <alignment/>
    </xf>
    <xf numFmtId="6" fontId="0" fillId="0" borderId="0" xfId="44" applyNumberFormat="1" applyFont="1" applyAlignment="1">
      <alignment/>
    </xf>
    <xf numFmtId="5" fontId="0" fillId="0" borderId="0" xfId="0" applyNumberFormat="1" applyAlignment="1" quotePrefix="1">
      <alignment horizontal="right"/>
    </xf>
    <xf numFmtId="5" fontId="7" fillId="0" borderId="0" xfId="0" applyNumberFormat="1" applyFont="1" applyBorder="1" applyAlignment="1">
      <alignment/>
    </xf>
    <xf numFmtId="5" fontId="0" fillId="0" borderId="10" xfId="0" applyNumberFormat="1" applyBorder="1" applyAlignment="1">
      <alignment/>
    </xf>
    <xf numFmtId="0" fontId="8" fillId="0" borderId="11" xfId="0" applyFont="1" applyFill="1" applyBorder="1" applyAlignment="1">
      <alignment horizontal="left"/>
    </xf>
    <xf numFmtId="5" fontId="0" fillId="0" borderId="11" xfId="0" applyNumberFormat="1" applyFont="1" applyFill="1" applyBorder="1" applyAlignment="1">
      <alignment/>
    </xf>
    <xf numFmtId="5" fontId="0" fillId="0" borderId="12" xfId="0" applyNumberFormat="1" applyBorder="1" applyAlignment="1">
      <alignment/>
    </xf>
    <xf numFmtId="5" fontId="0" fillId="0" borderId="0" xfId="44" applyNumberFormat="1" applyFont="1" applyAlignment="1">
      <alignment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9" fontId="0" fillId="0" borderId="0" xfId="44" applyNumberFormat="1" applyFont="1" applyAlignment="1">
      <alignment/>
    </xf>
    <xf numFmtId="169" fontId="0" fillId="0" borderId="10" xfId="44" applyNumberFormat="1" applyFont="1" applyBorder="1" applyAlignment="1">
      <alignment/>
    </xf>
    <xf numFmtId="169" fontId="0" fillId="0" borderId="12" xfId="44" applyNumberFormat="1" applyFont="1" applyBorder="1" applyAlignment="1">
      <alignment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10" xfId="44" applyNumberFormat="1" applyFont="1" applyBorder="1" applyAlignment="1">
      <alignment/>
    </xf>
    <xf numFmtId="169" fontId="0" fillId="0" borderId="0" xfId="44" applyNumberFormat="1" applyFont="1" applyFill="1" applyBorder="1" applyAlignment="1">
      <alignment/>
    </xf>
    <xf numFmtId="169" fontId="0" fillId="0" borderId="0" xfId="44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12" fillId="0" borderId="0" xfId="0" applyNumberFormat="1" applyFont="1" applyAlignment="1">
      <alignment/>
    </xf>
    <xf numFmtId="10" fontId="0" fillId="0" borderId="0" xfId="0" applyNumberFormat="1" applyAlignment="1">
      <alignment/>
    </xf>
    <xf numFmtId="185" fontId="0" fillId="0" borderId="0" xfId="0" applyNumberFormat="1" applyAlignment="1">
      <alignment/>
    </xf>
    <xf numFmtId="168" fontId="0" fillId="0" borderId="0" xfId="44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37" fontId="0" fillId="0" borderId="0" xfId="44" applyNumberFormat="1" applyFont="1" applyAlignment="1">
      <alignment/>
    </xf>
    <xf numFmtId="37" fontId="0" fillId="0" borderId="10" xfId="0" applyNumberFormat="1" applyBorder="1" applyAlignment="1">
      <alignment/>
    </xf>
    <xf numFmtId="37" fontId="13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7" fontId="0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3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10" xfId="44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0" fontId="0" fillId="0" borderId="0" xfId="59" applyNumberFormat="1" applyFont="1" applyAlignment="1">
      <alignment/>
    </xf>
    <xf numFmtId="169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November 1% City Sales Tax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5"/>
          <c:w val="0.98075"/>
          <c:h val="0.90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'CityCounty Sales Tax'!$L$6:$W$6</c:f>
              <c:numCache/>
            </c:numRef>
          </c:cat>
          <c:val>
            <c:numRef>
              <c:f>'CityCounty Sales Tax'!$L$17:$W$17</c:f>
              <c:numCache/>
            </c:numRef>
          </c:val>
          <c:smooth val="0"/>
        </c:ser>
        <c:marker val="1"/>
        <c:axId val="8028424"/>
        <c:axId val="5146953"/>
      </c:lineChart>
      <c:catAx>
        <c:axId val="8028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6953"/>
        <c:crosses val="autoZero"/>
        <c:auto val="1"/>
        <c:lblOffset val="100"/>
        <c:tickLblSkip val="1"/>
        <c:noMultiLvlLbl val="0"/>
      </c:catAx>
      <c:valAx>
        <c:axId val="5146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28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2</xdr:row>
      <xdr:rowOff>28575</xdr:rowOff>
    </xdr:from>
    <xdr:to>
      <xdr:col>36</xdr:col>
      <xdr:colOff>47625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8097500" y="352425"/>
        <a:ext cx="68008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5"/>
  <sheetViews>
    <sheetView zoomScalePageLayoutView="0" workbookViewId="0" topLeftCell="Q1">
      <selection activeCell="X25" sqref="X25"/>
    </sheetView>
  </sheetViews>
  <sheetFormatPr defaultColWidth="9.140625" defaultRowHeight="12.75"/>
  <cols>
    <col min="1" max="1" width="9.8515625" style="0" customWidth="1"/>
    <col min="2" max="2" width="10.7109375" style="0" hidden="1" customWidth="1"/>
    <col min="3" max="3" width="11.8515625" style="0" hidden="1" customWidth="1"/>
    <col min="4" max="5" width="10.7109375" style="0" hidden="1" customWidth="1"/>
    <col min="6" max="6" width="11.7109375" style="0" customWidth="1"/>
    <col min="7" max="9" width="11.28125" style="0" customWidth="1"/>
    <col min="10" max="10" width="11.57421875" style="0" customWidth="1"/>
    <col min="11" max="11" width="12.28125" style="0" customWidth="1"/>
    <col min="12" max="12" width="12.00390625" style="0" customWidth="1"/>
    <col min="13" max="13" width="12.8515625" style="0" customWidth="1"/>
    <col min="14" max="14" width="11.8515625" style="0" customWidth="1"/>
    <col min="15" max="15" width="12.7109375" style="0" customWidth="1"/>
    <col min="16" max="17" width="12.57421875" style="0" customWidth="1"/>
    <col min="18" max="20" width="11.421875" style="0" customWidth="1"/>
    <col min="21" max="21" width="14.00390625" style="0" bestFit="1" customWidth="1"/>
    <col min="22" max="23" width="14.00390625" style="0" customWidth="1"/>
    <col min="24" max="24" width="13.421875" style="0" bestFit="1" customWidth="1"/>
    <col min="25" max="26" width="13.421875" style="0" customWidth="1"/>
    <col min="27" max="27" width="11.140625" style="0" bestFit="1" customWidth="1"/>
    <col min="29" max="29" width="11.7109375" style="0" bestFit="1" customWidth="1"/>
    <col min="30" max="30" width="10.140625" style="0" bestFit="1" customWidth="1"/>
    <col min="31" max="31" width="14.421875" style="0" bestFit="1" customWidth="1"/>
  </cols>
  <sheetData>
    <row r="2" spans="3:13" ht="12.75">
      <c r="C2" s="14"/>
      <c r="M2" s="14" t="s">
        <v>0</v>
      </c>
    </row>
    <row r="3" spans="3:13" ht="12.75">
      <c r="C3" s="14"/>
      <c r="M3" s="14" t="s">
        <v>1</v>
      </c>
    </row>
    <row r="4" spans="3:23" ht="12.75">
      <c r="C4" s="14"/>
      <c r="M4" s="14" t="s">
        <v>2</v>
      </c>
      <c r="W4" s="54" t="s">
        <v>18</v>
      </c>
    </row>
    <row r="5" ht="12.75">
      <c r="X5" s="61">
        <v>2012</v>
      </c>
    </row>
    <row r="6" spans="1:26" ht="15.75">
      <c r="A6" s="1" t="s">
        <v>3</v>
      </c>
      <c r="B6" s="2">
        <v>1991</v>
      </c>
      <c r="C6" s="2">
        <v>1992</v>
      </c>
      <c r="D6" s="2">
        <v>1993</v>
      </c>
      <c r="E6" s="2">
        <v>1994</v>
      </c>
      <c r="F6" s="2">
        <v>1995</v>
      </c>
      <c r="G6" s="2">
        <v>1996</v>
      </c>
      <c r="H6" s="2">
        <v>1997</v>
      </c>
      <c r="I6" s="2">
        <v>1998</v>
      </c>
      <c r="J6" s="2">
        <v>1999</v>
      </c>
      <c r="K6" s="2">
        <v>2000</v>
      </c>
      <c r="L6" s="2">
        <v>2001</v>
      </c>
      <c r="M6" s="2">
        <v>2002</v>
      </c>
      <c r="N6" s="2">
        <v>2003</v>
      </c>
      <c r="O6" s="2">
        <v>2004</v>
      </c>
      <c r="P6" s="2">
        <v>2005</v>
      </c>
      <c r="Q6" s="2">
        <v>2006</v>
      </c>
      <c r="R6" s="2">
        <v>2007</v>
      </c>
      <c r="S6" s="2">
        <v>2008</v>
      </c>
      <c r="T6" s="2">
        <v>2009</v>
      </c>
      <c r="U6" s="2">
        <v>2010</v>
      </c>
      <c r="V6" s="2">
        <v>2011</v>
      </c>
      <c r="W6" s="2">
        <v>2012</v>
      </c>
      <c r="X6" s="61" t="s">
        <v>34</v>
      </c>
      <c r="Y6" s="61" t="s">
        <v>39</v>
      </c>
      <c r="Z6" s="61"/>
    </row>
    <row r="7" spans="1:26" ht="12.75">
      <c r="A7" s="3" t="s">
        <v>4</v>
      </c>
      <c r="B7" s="4">
        <v>246066</v>
      </c>
      <c r="C7" s="4">
        <v>518593</v>
      </c>
      <c r="D7" s="5">
        <v>579121</v>
      </c>
      <c r="E7" s="5">
        <v>660648</v>
      </c>
      <c r="F7" s="5">
        <v>678597</v>
      </c>
      <c r="G7" s="5">
        <f>739336</f>
        <v>739336</v>
      </c>
      <c r="H7" s="5">
        <v>894244</v>
      </c>
      <c r="I7" s="17">
        <v>968685</v>
      </c>
      <c r="J7" s="17">
        <v>920678</v>
      </c>
      <c r="K7" s="17">
        <v>780131</v>
      </c>
      <c r="L7" s="17">
        <v>889418</v>
      </c>
      <c r="M7" s="17">
        <v>925878</v>
      </c>
      <c r="N7" s="17">
        <v>861894</v>
      </c>
      <c r="O7" s="17">
        <v>882482</v>
      </c>
      <c r="P7" s="17">
        <v>971300</v>
      </c>
      <c r="Q7" s="17">
        <v>1012600</v>
      </c>
      <c r="R7" s="17">
        <v>987754</v>
      </c>
      <c r="S7" s="17">
        <v>1076447</v>
      </c>
      <c r="T7" s="17">
        <v>1141474</v>
      </c>
      <c r="U7" s="41">
        <f>1531505.71-U53-U73-U93</f>
        <v>990381</v>
      </c>
      <c r="V7" s="41">
        <f>1631883.17-V53-V73-V93</f>
        <v>1052828</v>
      </c>
      <c r="W7" s="41">
        <f>1733750.69/1.55</f>
        <v>1118549</v>
      </c>
      <c r="X7" s="20">
        <f>W7+'Use Tax'!M8</f>
        <v>1227270</v>
      </c>
      <c r="Y7" s="20">
        <f>TREND(K7:V7,K$6:V$6,W$6)</f>
        <v>1120005</v>
      </c>
      <c r="Z7" s="20">
        <f>TREND(L7:W7,L$6:W$6,X$5)</f>
        <v>1110814</v>
      </c>
    </row>
    <row r="8" spans="1:26" ht="12.75">
      <c r="A8" s="3" t="s">
        <v>5</v>
      </c>
      <c r="B8" s="4">
        <v>668634</v>
      </c>
      <c r="C8" s="4">
        <v>570079</v>
      </c>
      <c r="D8" s="5">
        <v>621204</v>
      </c>
      <c r="E8" s="5">
        <v>639767</v>
      </c>
      <c r="F8" s="5">
        <f>933598</f>
        <v>933598</v>
      </c>
      <c r="G8" s="5">
        <f>672542</f>
        <v>672542</v>
      </c>
      <c r="H8" s="5">
        <v>767531</v>
      </c>
      <c r="I8" s="17">
        <v>884244</v>
      </c>
      <c r="J8" s="17">
        <v>858307</v>
      </c>
      <c r="K8" s="17">
        <v>1022171</v>
      </c>
      <c r="L8" s="17">
        <v>986076</v>
      </c>
      <c r="M8" s="17">
        <v>1044882</v>
      </c>
      <c r="N8" s="17">
        <v>1031635</v>
      </c>
      <c r="O8" s="17">
        <v>1117559</v>
      </c>
      <c r="P8" s="17">
        <v>1088298</v>
      </c>
      <c r="Q8" s="17">
        <v>1134838</v>
      </c>
      <c r="R8" s="17">
        <v>1172136</v>
      </c>
      <c r="S8" s="17">
        <v>1125664</v>
      </c>
      <c r="T8" s="17">
        <v>1023707</v>
      </c>
      <c r="U8" s="41">
        <f>1628217.83-U54-U74-U94</f>
        <v>1054097</v>
      </c>
      <c r="V8" s="41">
        <f>1805101.08-V54-V74-V94</f>
        <v>1164582</v>
      </c>
      <c r="W8" s="41">
        <f>1853790.54/1.55</f>
        <v>1195994</v>
      </c>
      <c r="X8" s="20">
        <f>W8+'Use Tax'!M9</f>
        <v>1312285</v>
      </c>
      <c r="Y8" s="20">
        <f aca="true" t="shared" si="0" ref="Y8:Y18">TREND(K8:V8,K$6:V$6,W$6)</f>
        <v>1142082</v>
      </c>
      <c r="Z8" s="20">
        <f>TREND(L8:W8,L$6:W$6,X$5)</f>
        <v>1156951</v>
      </c>
    </row>
    <row r="9" spans="1:26" ht="12.75">
      <c r="A9" s="3" t="s">
        <v>6</v>
      </c>
      <c r="B9" s="4">
        <v>438154</v>
      </c>
      <c r="C9" s="4">
        <v>470079</v>
      </c>
      <c r="D9" s="5">
        <v>325208</v>
      </c>
      <c r="E9" s="5">
        <v>642426</v>
      </c>
      <c r="F9" s="5">
        <f>547340</f>
        <v>547340</v>
      </c>
      <c r="G9" s="5">
        <f>726602</f>
        <v>726602</v>
      </c>
      <c r="H9" s="5">
        <v>649113</v>
      </c>
      <c r="I9" s="17">
        <v>723984</v>
      </c>
      <c r="J9" s="17">
        <v>520936</v>
      </c>
      <c r="K9" s="17">
        <v>849152</v>
      </c>
      <c r="L9" s="17">
        <v>853873</v>
      </c>
      <c r="M9" s="17">
        <v>870200</v>
      </c>
      <c r="N9" s="17">
        <v>854515</v>
      </c>
      <c r="O9" s="17">
        <v>958863</v>
      </c>
      <c r="P9" s="17">
        <v>891474</v>
      </c>
      <c r="Q9" s="17">
        <v>963196</v>
      </c>
      <c r="R9" s="17">
        <v>918901</v>
      </c>
      <c r="S9" s="17">
        <v>1145583</v>
      </c>
      <c r="T9" s="17">
        <v>1114101</v>
      </c>
      <c r="U9" s="41">
        <f>1618583.99-U55-U75-U95</f>
        <v>1047299</v>
      </c>
      <c r="V9" s="41">
        <f>1728708.85/1.55</f>
        <v>1115296</v>
      </c>
      <c r="W9" s="41">
        <f>1785144.35/1.55</f>
        <v>1151706</v>
      </c>
      <c r="X9" s="20">
        <f>W9+'Use Tax'!M10</f>
        <v>1249033</v>
      </c>
      <c r="Y9" s="20">
        <f t="shared" si="0"/>
        <v>1142089</v>
      </c>
      <c r="Z9" s="20">
        <f>TREND(L9:W9,L$6:W$6,X$5)</f>
        <v>1150528</v>
      </c>
    </row>
    <row r="10" spans="1:27" ht="12.75">
      <c r="A10" s="3" t="s">
        <v>7</v>
      </c>
      <c r="B10" s="4">
        <v>502650</v>
      </c>
      <c r="C10" s="4">
        <v>467416</v>
      </c>
      <c r="D10" s="5">
        <v>642172</v>
      </c>
      <c r="E10" s="6">
        <v>665933</v>
      </c>
      <c r="F10" s="5">
        <f>773483</f>
        <v>773483</v>
      </c>
      <c r="G10" s="13">
        <v>637668</v>
      </c>
      <c r="H10" s="13">
        <v>751304</v>
      </c>
      <c r="I10" s="17">
        <v>795215</v>
      </c>
      <c r="J10" s="17">
        <v>1016160</v>
      </c>
      <c r="K10" s="17">
        <v>740311</v>
      </c>
      <c r="L10" s="17">
        <v>768461</v>
      </c>
      <c r="M10" s="17">
        <v>772830</v>
      </c>
      <c r="N10" s="20">
        <v>770591</v>
      </c>
      <c r="O10" s="17">
        <v>805085</v>
      </c>
      <c r="P10" s="17">
        <v>886739</v>
      </c>
      <c r="Q10" s="17">
        <v>921277</v>
      </c>
      <c r="R10" s="17">
        <v>940279</v>
      </c>
      <c r="S10" s="17">
        <v>864103</v>
      </c>
      <c r="T10" s="17">
        <v>935486</v>
      </c>
      <c r="U10" s="41">
        <f>1499992.71-U56-U76-U96</f>
        <v>970543</v>
      </c>
      <c r="V10" s="41">
        <f>1380088.97/1.55</f>
        <v>890380</v>
      </c>
      <c r="W10" s="41">
        <f>1485140.55/1.55</f>
        <v>958155</v>
      </c>
      <c r="X10" s="20">
        <f>W10+'Use Tax'!M11</f>
        <v>1045992</v>
      </c>
      <c r="Y10" s="20">
        <f t="shared" si="0"/>
        <v>980865</v>
      </c>
      <c r="Z10" s="20">
        <f>TREND(L10:V10,L$6:V$6,X$5)</f>
        <v>978709</v>
      </c>
      <c r="AA10" s="5" t="s">
        <v>18</v>
      </c>
    </row>
    <row r="11" spans="1:26" ht="12.75">
      <c r="A11" s="3" t="s">
        <v>8</v>
      </c>
      <c r="B11" s="4">
        <v>373854</v>
      </c>
      <c r="C11" s="4">
        <v>483045</v>
      </c>
      <c r="D11" s="5">
        <v>577652</v>
      </c>
      <c r="E11" s="6">
        <v>557528</v>
      </c>
      <c r="F11" s="5">
        <f>514880</f>
        <v>514880</v>
      </c>
      <c r="G11" s="5">
        <v>641231</v>
      </c>
      <c r="H11" s="5">
        <v>679203</v>
      </c>
      <c r="I11" s="17">
        <v>495811</v>
      </c>
      <c r="J11" s="17">
        <v>821757</v>
      </c>
      <c r="K11" s="17">
        <v>861226</v>
      </c>
      <c r="L11" s="17">
        <v>914791</v>
      </c>
      <c r="M11" s="17">
        <v>852242</v>
      </c>
      <c r="N11" s="20">
        <v>948028</v>
      </c>
      <c r="O11" s="17">
        <v>902809</v>
      </c>
      <c r="P11" s="17">
        <v>1003884</v>
      </c>
      <c r="Q11" s="17">
        <v>1040583</v>
      </c>
      <c r="R11" s="20">
        <v>1011907</v>
      </c>
      <c r="S11" s="20">
        <v>1098321</v>
      </c>
      <c r="T11" s="20">
        <v>949751</v>
      </c>
      <c r="U11" s="41">
        <f>1584417.62-U57-U77-U97</f>
        <v>1023814</v>
      </c>
      <c r="V11" s="41">
        <f>1654398.88/1.55</f>
        <v>1067354</v>
      </c>
      <c r="W11" s="41">
        <f>1738344/1.55</f>
        <v>1121512</v>
      </c>
      <c r="X11" s="20">
        <f>W11+'Use Tax'!M12</f>
        <v>1225943</v>
      </c>
      <c r="Y11" s="20">
        <f t="shared" si="0"/>
        <v>1087589</v>
      </c>
      <c r="Z11" s="20">
        <f aca="true" t="shared" si="1" ref="Z11:Z18">TREND(L11:V11,L$6:V$6,X$5)</f>
        <v>1084134</v>
      </c>
    </row>
    <row r="12" spans="1:26" ht="12.75">
      <c r="A12" s="3" t="s">
        <v>9</v>
      </c>
      <c r="B12" s="4">
        <v>628191</v>
      </c>
      <c r="C12" s="4">
        <v>528642</v>
      </c>
      <c r="D12" s="5">
        <v>569230</v>
      </c>
      <c r="E12" s="6">
        <v>503739</v>
      </c>
      <c r="F12" s="5">
        <f>746883</f>
        <v>746883</v>
      </c>
      <c r="G12" s="5">
        <v>748424</v>
      </c>
      <c r="H12" s="5">
        <v>736795</v>
      </c>
      <c r="I12" s="17">
        <v>897420</v>
      </c>
      <c r="J12" s="17">
        <v>654700</v>
      </c>
      <c r="K12" s="17">
        <v>763695</v>
      </c>
      <c r="L12" s="17">
        <v>871273</v>
      </c>
      <c r="M12" s="17">
        <v>808304</v>
      </c>
      <c r="N12" s="20">
        <v>894137</v>
      </c>
      <c r="O12" s="17">
        <v>933414</v>
      </c>
      <c r="P12" s="17">
        <v>903198</v>
      </c>
      <c r="Q12" s="17">
        <v>1026237</v>
      </c>
      <c r="R12" s="20">
        <v>1109905</v>
      </c>
      <c r="S12" s="20">
        <v>1084694</v>
      </c>
      <c r="T12" s="20">
        <v>1000653</v>
      </c>
      <c r="U12" s="41">
        <f>1592670-U58-U78-U98</f>
        <v>1030358</v>
      </c>
      <c r="V12" s="41">
        <f>1666899.21/1.55</f>
        <v>1075419</v>
      </c>
      <c r="W12" s="41">
        <f>1733974.9/1.55</f>
        <v>1118693</v>
      </c>
      <c r="X12" s="20">
        <f>W12+'Use Tax'!M13</f>
        <v>1208601</v>
      </c>
      <c r="Y12" s="20">
        <f t="shared" si="0"/>
        <v>1135997</v>
      </c>
      <c r="Z12" s="20">
        <f t="shared" si="1"/>
        <v>1125477</v>
      </c>
    </row>
    <row r="13" spans="1:26" ht="12.75">
      <c r="A13" s="3" t="s">
        <v>10</v>
      </c>
      <c r="B13" s="4">
        <v>607702</v>
      </c>
      <c r="C13" s="4">
        <v>550786</v>
      </c>
      <c r="D13" s="5">
        <v>686791</v>
      </c>
      <c r="E13" s="6">
        <v>612520</v>
      </c>
      <c r="F13" s="5">
        <f>738954</f>
        <v>738954</v>
      </c>
      <c r="G13" s="5">
        <v>650854</v>
      </c>
      <c r="H13" s="5">
        <v>718406</v>
      </c>
      <c r="I13" s="17">
        <v>872210</v>
      </c>
      <c r="J13" s="17">
        <v>926064</v>
      </c>
      <c r="K13" s="17">
        <v>693673</v>
      </c>
      <c r="L13" s="17">
        <v>858471</v>
      </c>
      <c r="M13" s="17">
        <v>893420</v>
      </c>
      <c r="N13" s="20">
        <v>843776</v>
      </c>
      <c r="O13" s="17">
        <v>955011</v>
      </c>
      <c r="P13" s="17">
        <v>988681</v>
      </c>
      <c r="Q13" s="17">
        <v>1002892</v>
      </c>
      <c r="R13" s="20">
        <v>1050323</v>
      </c>
      <c r="S13" s="20">
        <v>1111612</v>
      </c>
      <c r="T13" s="20">
        <f>1776486.67-T59-T79-T99</f>
        <v>1176630</v>
      </c>
      <c r="U13" s="41">
        <f>1503468.03-U59-U79-U99</f>
        <v>970884</v>
      </c>
      <c r="V13" s="41">
        <f>1684757.22/1.55</f>
        <v>1086940</v>
      </c>
      <c r="W13" s="41">
        <f>1831992.92/1.55</f>
        <v>1181931</v>
      </c>
      <c r="X13" s="20">
        <f>W13+'Use Tax'!M14</f>
        <v>1252750</v>
      </c>
      <c r="Y13" s="20">
        <f t="shared" si="0"/>
        <v>1172983</v>
      </c>
      <c r="Z13" s="20">
        <f t="shared" si="1"/>
        <v>1148546</v>
      </c>
    </row>
    <row r="14" spans="1:26" ht="12.75">
      <c r="A14" s="3" t="s">
        <v>11</v>
      </c>
      <c r="B14" s="4">
        <v>478061</v>
      </c>
      <c r="C14" s="4">
        <v>461896</v>
      </c>
      <c r="D14" s="5">
        <v>630285</v>
      </c>
      <c r="E14" s="5">
        <v>668632</v>
      </c>
      <c r="F14" s="5">
        <f>706272</f>
        <v>706272</v>
      </c>
      <c r="G14" s="5">
        <v>716182</v>
      </c>
      <c r="H14" s="5">
        <v>742195</v>
      </c>
      <c r="I14" s="17">
        <v>804212</v>
      </c>
      <c r="J14" s="17">
        <v>890947</v>
      </c>
      <c r="K14" s="17">
        <v>908363</v>
      </c>
      <c r="L14" s="17">
        <v>906118</v>
      </c>
      <c r="M14" s="17">
        <v>948054</v>
      </c>
      <c r="N14" s="20">
        <v>890341</v>
      </c>
      <c r="O14" s="17">
        <v>1014259</v>
      </c>
      <c r="P14" s="17">
        <v>1072032</v>
      </c>
      <c r="Q14" s="17">
        <v>1048517</v>
      </c>
      <c r="R14" s="20">
        <v>1016855</v>
      </c>
      <c r="S14" s="20">
        <v>1107665</v>
      </c>
      <c r="T14" s="20">
        <f>1494108.55-T60-T80-T100</f>
        <v>968807</v>
      </c>
      <c r="U14" s="41">
        <f>1640127.46-U60-U80-U100</f>
        <v>1059140</v>
      </c>
      <c r="V14" s="41">
        <f>1535266.43/1.55</f>
        <v>990494</v>
      </c>
      <c r="W14" s="41">
        <f>1923375.86/1.55</f>
        <v>1240888</v>
      </c>
      <c r="X14" s="20">
        <f>W14+'Use Tax'!M15</f>
        <v>1342654</v>
      </c>
      <c r="Y14" s="20">
        <f t="shared" si="0"/>
        <v>1073693</v>
      </c>
      <c r="Z14" s="20">
        <f t="shared" si="1"/>
        <v>1069294</v>
      </c>
    </row>
    <row r="15" spans="1:26" ht="12.75">
      <c r="A15" s="3" t="s">
        <v>12</v>
      </c>
      <c r="B15" s="4">
        <v>562623</v>
      </c>
      <c r="C15" s="4">
        <v>474147</v>
      </c>
      <c r="D15" s="5">
        <v>564091</v>
      </c>
      <c r="E15" s="7">
        <v>736634</v>
      </c>
      <c r="F15" s="5">
        <f>725765</f>
        <v>725765</v>
      </c>
      <c r="G15" s="5">
        <v>794112</v>
      </c>
      <c r="H15" s="5">
        <v>944923</v>
      </c>
      <c r="I15" s="17">
        <v>676527</v>
      </c>
      <c r="J15" s="17">
        <v>853268</v>
      </c>
      <c r="K15" s="17">
        <v>876441</v>
      </c>
      <c r="L15" s="17">
        <v>916814</v>
      </c>
      <c r="M15" s="17">
        <v>815766</v>
      </c>
      <c r="N15" s="20">
        <v>936321</v>
      </c>
      <c r="O15" s="17">
        <v>925687</v>
      </c>
      <c r="P15" s="17">
        <v>966190</v>
      </c>
      <c r="Q15" s="17">
        <v>938655</v>
      </c>
      <c r="R15" s="20">
        <v>975779</v>
      </c>
      <c r="S15" s="20">
        <v>1048203</v>
      </c>
      <c r="T15" s="20">
        <f>1536642.59-T61-T81-T101</f>
        <v>996488</v>
      </c>
      <c r="U15" s="41">
        <f>1576030.43-U61-U81-U101</f>
        <v>1018736</v>
      </c>
      <c r="V15" s="41">
        <f>1605702.93/1.55</f>
        <v>1035937</v>
      </c>
      <c r="W15" s="41">
        <f>1526211.95/1.55</f>
        <v>984653</v>
      </c>
      <c r="X15" s="20">
        <f>W15+'Use Tax'!M16</f>
        <v>1094944</v>
      </c>
      <c r="Y15" s="20">
        <f t="shared" si="0"/>
        <v>1059228</v>
      </c>
      <c r="Z15" s="20">
        <f t="shared" si="1"/>
        <v>1061831</v>
      </c>
    </row>
    <row r="16" spans="1:26" ht="12.75">
      <c r="A16" s="3" t="s">
        <v>13</v>
      </c>
      <c r="B16" s="4">
        <v>563368</v>
      </c>
      <c r="C16" s="4">
        <v>535303</v>
      </c>
      <c r="D16" s="5">
        <v>608043</v>
      </c>
      <c r="E16" s="8">
        <v>683202</v>
      </c>
      <c r="F16" s="5">
        <f>734085</f>
        <v>734085</v>
      </c>
      <c r="G16" s="5">
        <v>667493</v>
      </c>
      <c r="H16" s="5">
        <v>647217</v>
      </c>
      <c r="I16" s="17">
        <v>937839</v>
      </c>
      <c r="J16" s="17">
        <v>1023186</v>
      </c>
      <c r="K16" s="17">
        <v>1045954</v>
      </c>
      <c r="L16" s="17">
        <v>964583</v>
      </c>
      <c r="M16" s="17">
        <v>1023509</v>
      </c>
      <c r="N16" s="20">
        <v>1015311</v>
      </c>
      <c r="O16" s="17">
        <v>1004830</v>
      </c>
      <c r="P16" s="17">
        <v>1073010</v>
      </c>
      <c r="Q16" s="17">
        <v>1115131</v>
      </c>
      <c r="R16" s="20">
        <v>1269662</v>
      </c>
      <c r="S16" s="20">
        <v>1118087</v>
      </c>
      <c r="T16" s="20">
        <f>1740626.65-T62-T82-T102</f>
        <v>1125034</v>
      </c>
      <c r="U16" s="41">
        <f>1752778.02-U62-U82-U102</f>
        <v>1136701</v>
      </c>
      <c r="V16" s="41">
        <f>1807639.16/1.55</f>
        <v>1166219</v>
      </c>
      <c r="W16" s="41">
        <f>1895820.29/1.55</f>
        <v>1223110</v>
      </c>
      <c r="X16" s="20">
        <f>W16+'Use Tax'!M17</f>
        <v>1321176</v>
      </c>
      <c r="Y16" s="20">
        <f t="shared" si="0"/>
        <v>1200286</v>
      </c>
      <c r="Z16" s="20">
        <f t="shared" si="1"/>
        <v>1212732</v>
      </c>
    </row>
    <row r="17" spans="1:26" ht="12.75">
      <c r="A17" s="3" t="s">
        <v>14</v>
      </c>
      <c r="B17" s="4">
        <v>525933</v>
      </c>
      <c r="C17" s="4">
        <v>535640</v>
      </c>
      <c r="D17" s="5">
        <v>675325</v>
      </c>
      <c r="E17" s="5">
        <v>771310</v>
      </c>
      <c r="F17" s="5">
        <f>650365</f>
        <v>650365</v>
      </c>
      <c r="G17" s="5">
        <v>806469</v>
      </c>
      <c r="H17" s="5">
        <v>926183</v>
      </c>
      <c r="I17" s="17">
        <v>892475</v>
      </c>
      <c r="J17" s="17">
        <v>931118</v>
      </c>
      <c r="K17" s="17">
        <v>951451</v>
      </c>
      <c r="L17" s="17">
        <v>980144</v>
      </c>
      <c r="M17" s="17">
        <v>919853</v>
      </c>
      <c r="N17" s="20">
        <v>900914</v>
      </c>
      <c r="O17" s="17">
        <v>968710</v>
      </c>
      <c r="P17" s="17">
        <v>1010817</v>
      </c>
      <c r="Q17" s="17">
        <v>1059631</v>
      </c>
      <c r="R17" s="20">
        <v>963935</v>
      </c>
      <c r="S17" s="20">
        <v>1014571</v>
      </c>
      <c r="T17" s="20">
        <f>1626416.95-T63-T83-T103</f>
        <v>1050745</v>
      </c>
      <c r="U17" s="41">
        <f>1538484.85-U63-U83-U103</f>
        <v>995605</v>
      </c>
      <c r="V17" s="41">
        <f>1719424.03/1.55</f>
        <v>1109306</v>
      </c>
      <c r="W17" s="41">
        <f>1872627.05/1.55</f>
        <v>1208146</v>
      </c>
      <c r="X17" s="20">
        <f>W17+'Use Tax'!M18</f>
        <v>1315968</v>
      </c>
      <c r="Y17" s="20">
        <f t="shared" si="0"/>
        <v>1070956</v>
      </c>
      <c r="Z17" s="20">
        <f t="shared" si="1"/>
        <v>1076375</v>
      </c>
    </row>
    <row r="18" spans="1:27" ht="12.75">
      <c r="A18" s="3" t="s">
        <v>15</v>
      </c>
      <c r="B18" s="4">
        <v>522293</v>
      </c>
      <c r="C18" s="4">
        <v>604853</v>
      </c>
      <c r="D18" s="9">
        <v>630003</v>
      </c>
      <c r="E18" s="9">
        <v>664302</v>
      </c>
      <c r="F18" s="9">
        <f>676981</f>
        <v>676981</v>
      </c>
      <c r="G18" s="9">
        <v>566443</v>
      </c>
      <c r="H18" s="9">
        <v>452469</v>
      </c>
      <c r="I18" s="18">
        <v>725767</v>
      </c>
      <c r="J18" s="18">
        <v>757192</v>
      </c>
      <c r="K18" s="18">
        <v>855504</v>
      </c>
      <c r="L18" s="22">
        <v>829893</v>
      </c>
      <c r="M18" s="22">
        <v>914899</v>
      </c>
      <c r="N18" s="21">
        <v>966634</v>
      </c>
      <c r="O18" s="18">
        <v>970163</v>
      </c>
      <c r="P18" s="18">
        <v>986203.13</v>
      </c>
      <c r="Q18" s="18">
        <v>996880.45</v>
      </c>
      <c r="R18" s="18">
        <v>1036355</v>
      </c>
      <c r="S18" s="18">
        <v>1103193</v>
      </c>
      <c r="T18" s="18">
        <f>1686827.02-T64-T84-T104</f>
        <v>1089269</v>
      </c>
      <c r="U18" s="55">
        <f>1648455.21-U64-U84-U104</f>
        <v>1063389</v>
      </c>
      <c r="V18" s="55">
        <f>1802024.91/1.55</f>
        <v>1162597</v>
      </c>
      <c r="W18" s="41"/>
      <c r="X18" s="63" t="s">
        <v>18</v>
      </c>
      <c r="Y18" s="20">
        <f t="shared" si="0"/>
        <v>1170463</v>
      </c>
      <c r="Z18" s="20">
        <f t="shared" si="1"/>
        <v>1171312</v>
      </c>
      <c r="AA18" s="37" t="s">
        <v>18</v>
      </c>
    </row>
    <row r="19" spans="1:26" ht="13.5" thickBot="1">
      <c r="A19" s="10" t="s">
        <v>16</v>
      </c>
      <c r="B19" s="11">
        <f aca="true" t="shared" si="2" ref="B19:Q19">SUM(B7:B18)</f>
        <v>6117529</v>
      </c>
      <c r="C19" s="11">
        <f t="shared" si="2"/>
        <v>6200479</v>
      </c>
      <c r="D19" s="12">
        <f t="shared" si="2"/>
        <v>7109125</v>
      </c>
      <c r="E19" s="12">
        <f t="shared" si="2"/>
        <v>7806641</v>
      </c>
      <c r="F19" s="12">
        <f t="shared" si="2"/>
        <v>8427203</v>
      </c>
      <c r="G19" s="12">
        <f t="shared" si="2"/>
        <v>8367356</v>
      </c>
      <c r="H19" s="12">
        <f>SUM(H7:H18)</f>
        <v>8909583</v>
      </c>
      <c r="I19" s="12">
        <f t="shared" si="2"/>
        <v>9674389</v>
      </c>
      <c r="J19" s="12">
        <f t="shared" si="2"/>
        <v>10174313</v>
      </c>
      <c r="K19" s="12">
        <f t="shared" si="2"/>
        <v>10348072</v>
      </c>
      <c r="L19" s="12">
        <f t="shared" si="2"/>
        <v>10739915</v>
      </c>
      <c r="M19" s="12">
        <f t="shared" si="2"/>
        <v>10789837</v>
      </c>
      <c r="N19" s="12">
        <f t="shared" si="2"/>
        <v>10914097</v>
      </c>
      <c r="O19" s="12">
        <f t="shared" si="2"/>
        <v>11438872</v>
      </c>
      <c r="P19" s="12">
        <f t="shared" si="2"/>
        <v>11841826</v>
      </c>
      <c r="Q19" s="12">
        <f t="shared" si="2"/>
        <v>12260437</v>
      </c>
      <c r="R19" s="12">
        <f aca="true" t="shared" si="3" ref="R19:X19">SUM(R7:R18)</f>
        <v>12453791</v>
      </c>
      <c r="S19" s="12">
        <f t="shared" si="3"/>
        <v>12898143</v>
      </c>
      <c r="T19" s="12">
        <f t="shared" si="3"/>
        <v>12572145</v>
      </c>
      <c r="U19" s="12">
        <f t="shared" si="3"/>
        <v>12360947</v>
      </c>
      <c r="V19" s="12">
        <f t="shared" si="3"/>
        <v>12917352</v>
      </c>
      <c r="W19" s="12">
        <f t="shared" si="3"/>
        <v>12503337</v>
      </c>
      <c r="X19" s="53">
        <f t="shared" si="3"/>
        <v>13596616</v>
      </c>
      <c r="Y19" s="53">
        <f>SUM(Y7:Y18)</f>
        <v>13356236</v>
      </c>
      <c r="Z19" s="53">
        <f>SUM(Z7:Z18)</f>
        <v>13346703</v>
      </c>
    </row>
    <row r="20" spans="1:26" ht="13.5" thickTop="1">
      <c r="A20" s="26" t="s">
        <v>19</v>
      </c>
      <c r="J20" s="5"/>
      <c r="K20" s="23">
        <v>9850000</v>
      </c>
      <c r="L20" s="24">
        <v>10330000</v>
      </c>
      <c r="M20" s="24">
        <v>10650000</v>
      </c>
      <c r="N20" s="24">
        <v>10800000</v>
      </c>
      <c r="O20" s="24">
        <v>10700000</v>
      </c>
      <c r="P20" s="24">
        <v>11400000</v>
      </c>
      <c r="Q20" s="24">
        <v>12000000</v>
      </c>
      <c r="R20" s="24">
        <v>12850000</v>
      </c>
      <c r="S20" s="24">
        <v>12700000</v>
      </c>
      <c r="T20" s="24">
        <f>S20*1.02</f>
        <v>12954000</v>
      </c>
      <c r="U20" s="24">
        <f>T20*1.02</f>
        <v>13213080</v>
      </c>
      <c r="V20" s="24">
        <f>U20*1.02</f>
        <v>13477342</v>
      </c>
      <c r="W20" s="42">
        <f>20712232/1.55</f>
        <v>13362730</v>
      </c>
      <c r="X20" s="20" t="s">
        <v>18</v>
      </c>
      <c r="Y20" s="20"/>
      <c r="Z20" s="20"/>
    </row>
    <row r="21" spans="14:24" ht="12.75">
      <c r="N21" s="27" t="s">
        <v>18</v>
      </c>
      <c r="P21" t="s">
        <v>18</v>
      </c>
      <c r="R21" t="s">
        <v>18</v>
      </c>
      <c r="X21" t="s">
        <v>18</v>
      </c>
    </row>
    <row r="22" spans="1:23" ht="12.75">
      <c r="A22" t="s">
        <v>27</v>
      </c>
      <c r="G22" s="32">
        <f>G19/F19-1</f>
        <v>-0.0071</v>
      </c>
      <c r="H22" s="32">
        <f>H19/G19-1</f>
        <v>0.0648</v>
      </c>
      <c r="I22" s="32">
        <f aca="true" t="shared" si="4" ref="I22:W22">I19/H19-1</f>
        <v>0.0858</v>
      </c>
      <c r="J22" s="32">
        <f t="shared" si="4"/>
        <v>0.0517</v>
      </c>
      <c r="K22" s="32">
        <f t="shared" si="4"/>
        <v>0.0171</v>
      </c>
      <c r="L22" s="32">
        <f t="shared" si="4"/>
        <v>0.0379</v>
      </c>
      <c r="M22" s="32">
        <f t="shared" si="4"/>
        <v>0.0046</v>
      </c>
      <c r="N22" s="32">
        <f t="shared" si="4"/>
        <v>0.0115</v>
      </c>
      <c r="O22" s="32">
        <f t="shared" si="4"/>
        <v>0.0481</v>
      </c>
      <c r="P22" s="32">
        <f t="shared" si="4"/>
        <v>0.0352</v>
      </c>
      <c r="Q22" s="32">
        <f t="shared" si="4"/>
        <v>0.0354</v>
      </c>
      <c r="R22" s="32">
        <f t="shared" si="4"/>
        <v>0.0158</v>
      </c>
      <c r="S22" s="32">
        <f t="shared" si="4"/>
        <v>0.0357</v>
      </c>
      <c r="T22" s="32">
        <f t="shared" si="4"/>
        <v>-0.0253</v>
      </c>
      <c r="U22" s="32">
        <f t="shared" si="4"/>
        <v>-0.0168</v>
      </c>
      <c r="V22" s="32">
        <f t="shared" si="4"/>
        <v>0.045</v>
      </c>
      <c r="W22" s="32">
        <f>W19/(V19-V18)-1</f>
        <v>0.0637</v>
      </c>
    </row>
    <row r="23" spans="19:23" ht="12.75">
      <c r="S23" s="20" t="s">
        <v>18</v>
      </c>
      <c r="T23" s="20"/>
      <c r="V23" s="20" t="s">
        <v>18</v>
      </c>
      <c r="W23" s="20"/>
    </row>
    <row r="24" ht="12.75">
      <c r="U24" t="s">
        <v>26</v>
      </c>
    </row>
    <row r="25" ht="12.75">
      <c r="M25" s="14" t="s">
        <v>0</v>
      </c>
    </row>
    <row r="26" ht="12.75">
      <c r="M26" s="14" t="s">
        <v>17</v>
      </c>
    </row>
    <row r="27" ht="12.75">
      <c r="M27" s="14" t="s">
        <v>2</v>
      </c>
    </row>
    <row r="28" ht="12.75">
      <c r="N28" s="25" t="s">
        <v>18</v>
      </c>
    </row>
    <row r="29" spans="1:26" ht="15.75">
      <c r="A29" s="1" t="s">
        <v>3</v>
      </c>
      <c r="B29" s="2">
        <v>1991</v>
      </c>
      <c r="C29" s="2">
        <v>1992</v>
      </c>
      <c r="D29" s="2">
        <v>1993</v>
      </c>
      <c r="E29" s="2">
        <v>1994</v>
      </c>
      <c r="F29" s="2">
        <v>1995</v>
      </c>
      <c r="G29" s="2">
        <v>1996</v>
      </c>
      <c r="H29" s="2">
        <v>1997</v>
      </c>
      <c r="I29" s="2">
        <v>1998</v>
      </c>
      <c r="J29" s="2">
        <v>1999</v>
      </c>
      <c r="K29" s="2">
        <v>2000</v>
      </c>
      <c r="L29" s="2">
        <v>2001</v>
      </c>
      <c r="M29" s="2">
        <v>2002</v>
      </c>
      <c r="N29" s="2">
        <v>2003</v>
      </c>
      <c r="O29" s="2">
        <v>2004</v>
      </c>
      <c r="P29" s="2">
        <v>2005</v>
      </c>
      <c r="Q29" s="2">
        <v>2006</v>
      </c>
      <c r="R29" s="2">
        <v>2007</v>
      </c>
      <c r="S29" s="2">
        <v>2008</v>
      </c>
      <c r="T29" s="2">
        <v>2009</v>
      </c>
      <c r="U29" s="2">
        <v>2010</v>
      </c>
      <c r="V29" s="2">
        <v>2011</v>
      </c>
      <c r="W29" s="2">
        <v>2012</v>
      </c>
      <c r="X29" s="61" t="s">
        <v>34</v>
      </c>
      <c r="Y29" s="61"/>
      <c r="Z29" s="61"/>
    </row>
    <row r="30" spans="1:27" ht="12.75">
      <c r="A30" s="3" t="s">
        <v>4</v>
      </c>
      <c r="F30" s="17" t="s">
        <v>18</v>
      </c>
      <c r="G30" s="17">
        <v>429004</v>
      </c>
      <c r="H30" s="17">
        <v>569534</v>
      </c>
      <c r="I30" s="17">
        <v>624864</v>
      </c>
      <c r="J30" s="17">
        <v>579320</v>
      </c>
      <c r="K30" s="20">
        <v>474925</v>
      </c>
      <c r="L30" s="20">
        <v>587465</v>
      </c>
      <c r="M30" s="20">
        <v>595273</v>
      </c>
      <c r="N30" s="20">
        <v>558034</v>
      </c>
      <c r="O30" s="20">
        <v>579069</v>
      </c>
      <c r="P30" s="20">
        <v>641698</v>
      </c>
      <c r="Q30" s="20">
        <v>673308</v>
      </c>
      <c r="R30" s="20">
        <v>631449</v>
      </c>
      <c r="S30" s="20">
        <v>688844</v>
      </c>
      <c r="T30" s="20">
        <v>732087</v>
      </c>
      <c r="U30" s="20">
        <v>627460</v>
      </c>
      <c r="V30" s="20">
        <v>664936</v>
      </c>
      <c r="W30" s="20">
        <v>696162</v>
      </c>
      <c r="X30" s="46">
        <f>W30+'Use Tax'!M29</f>
        <v>767058</v>
      </c>
      <c r="Y30" s="46">
        <f>TREND(K30:V30,K$29:V$29,W$29)</f>
        <v>717816</v>
      </c>
      <c r="Z30" s="46"/>
      <c r="AA30" s="20">
        <f>Z7+Z8+Z9</f>
        <v>3418293</v>
      </c>
    </row>
    <row r="31" spans="1:31" ht="12.75">
      <c r="A31" s="3" t="s">
        <v>5</v>
      </c>
      <c r="F31" s="17">
        <v>546</v>
      </c>
      <c r="G31" s="17">
        <v>496976</v>
      </c>
      <c r="H31" s="17">
        <v>488075</v>
      </c>
      <c r="I31" s="17">
        <v>582729</v>
      </c>
      <c r="J31" s="17">
        <v>526970</v>
      </c>
      <c r="K31" s="20">
        <v>685343</v>
      </c>
      <c r="L31" s="20">
        <v>661004</v>
      </c>
      <c r="M31" s="20">
        <v>673949</v>
      </c>
      <c r="N31" s="20">
        <v>669829</v>
      </c>
      <c r="O31" s="20">
        <v>733012</v>
      </c>
      <c r="P31" s="20">
        <v>713048</v>
      </c>
      <c r="Q31" s="20">
        <v>742377</v>
      </c>
      <c r="R31" s="20">
        <v>749213</v>
      </c>
      <c r="S31" s="20">
        <v>731360</v>
      </c>
      <c r="T31" s="20">
        <v>647336</v>
      </c>
      <c r="U31" s="20">
        <v>668666</v>
      </c>
      <c r="V31" s="20">
        <v>714048</v>
      </c>
      <c r="W31" s="20">
        <v>743640</v>
      </c>
      <c r="X31" s="46">
        <f>W31+'Use Tax'!M30</f>
        <v>824375</v>
      </c>
      <c r="Y31" s="46">
        <f aca="true" t="shared" si="5" ref="Y31:Y41">TREND(K31:V31,K$29:V$29,W$29)</f>
        <v>712372</v>
      </c>
      <c r="Z31" s="46"/>
      <c r="AA31" s="54">
        <f>Z10+Z11+Z12</f>
        <v>3188320</v>
      </c>
      <c r="AC31" s="5">
        <f>V19+W7-V7+V42+W30-V30+V65-V53+W53+V85+W73-V73+V105+W93-V93</f>
        <v>28185835</v>
      </c>
      <c r="AE31" s="65" t="s">
        <v>18</v>
      </c>
    </row>
    <row r="32" spans="1:27" ht="12.75">
      <c r="A32" s="3" t="s">
        <v>6</v>
      </c>
      <c r="F32" s="17">
        <v>273671</v>
      </c>
      <c r="G32" s="17">
        <v>448659</v>
      </c>
      <c r="H32" s="17">
        <v>415877</v>
      </c>
      <c r="I32" s="17">
        <v>479590</v>
      </c>
      <c r="J32" s="17">
        <v>356791</v>
      </c>
      <c r="K32" s="20">
        <v>597291</v>
      </c>
      <c r="L32" s="20">
        <v>559499</v>
      </c>
      <c r="M32" s="20">
        <v>569032</v>
      </c>
      <c r="N32" s="20">
        <v>562240</v>
      </c>
      <c r="O32" s="20">
        <v>637421</v>
      </c>
      <c r="P32" s="20">
        <v>591897</v>
      </c>
      <c r="Q32" s="20">
        <v>628796</v>
      </c>
      <c r="R32" s="20">
        <v>591234</v>
      </c>
      <c r="S32" s="20">
        <v>739972</v>
      </c>
      <c r="T32" s="20">
        <v>709218</v>
      </c>
      <c r="U32" s="20">
        <v>659566</v>
      </c>
      <c r="V32" s="20">
        <v>695625</v>
      </c>
      <c r="W32" s="20">
        <v>719814</v>
      </c>
      <c r="X32" s="46">
        <f>W32+'Use Tax'!M31</f>
        <v>788003</v>
      </c>
      <c r="Y32" s="46">
        <f t="shared" si="5"/>
        <v>713723</v>
      </c>
      <c r="Z32" s="46"/>
      <c r="AA32" s="20">
        <f>Z13+Z14+Z15</f>
        <v>3279671</v>
      </c>
    </row>
    <row r="33" spans="1:31" ht="12.75">
      <c r="A33" s="3" t="s">
        <v>7</v>
      </c>
      <c r="F33" s="17">
        <v>394706</v>
      </c>
      <c r="G33" s="17">
        <v>403687</v>
      </c>
      <c r="H33" s="17">
        <v>475467</v>
      </c>
      <c r="I33" s="17">
        <v>527920</v>
      </c>
      <c r="J33" s="17">
        <v>631382</v>
      </c>
      <c r="K33" s="20">
        <v>556583</v>
      </c>
      <c r="L33" s="20">
        <v>498854</v>
      </c>
      <c r="M33" s="20">
        <v>497880</v>
      </c>
      <c r="N33" s="20">
        <v>505094</v>
      </c>
      <c r="O33" s="20">
        <v>528806</v>
      </c>
      <c r="P33" s="20">
        <v>593108</v>
      </c>
      <c r="Q33" s="20">
        <v>593793</v>
      </c>
      <c r="R33" s="20">
        <v>610444</v>
      </c>
      <c r="S33" s="20">
        <v>553297</v>
      </c>
      <c r="T33" s="20">
        <v>589443</v>
      </c>
      <c r="U33" s="20">
        <v>615026</v>
      </c>
      <c r="V33" s="20">
        <v>556237</v>
      </c>
      <c r="W33" s="20">
        <v>597967</v>
      </c>
      <c r="X33" s="46">
        <f>W33+'Use Tax'!M32</f>
        <v>657139</v>
      </c>
      <c r="Y33" s="46">
        <f t="shared" si="5"/>
        <v>607516</v>
      </c>
      <c r="Z33" s="46"/>
      <c r="AA33" s="20">
        <f>Z16+Z17+Z18</f>
        <v>3460419</v>
      </c>
      <c r="AE33" t="s">
        <v>18</v>
      </c>
    </row>
    <row r="34" spans="1:31" ht="12.75">
      <c r="A34" s="3" t="s">
        <v>8</v>
      </c>
      <c r="F34" s="17">
        <v>316701</v>
      </c>
      <c r="G34" s="17">
        <v>398816</v>
      </c>
      <c r="H34" s="17">
        <v>440527</v>
      </c>
      <c r="I34" s="17">
        <v>309374</v>
      </c>
      <c r="J34" s="17">
        <v>525326</v>
      </c>
      <c r="K34" s="20">
        <v>603711</v>
      </c>
      <c r="L34" s="20">
        <v>603773</v>
      </c>
      <c r="M34" s="20">
        <v>545861</v>
      </c>
      <c r="N34" s="20">
        <v>621106</v>
      </c>
      <c r="O34" s="20">
        <v>599516</v>
      </c>
      <c r="P34" s="20">
        <v>670249</v>
      </c>
      <c r="Q34" s="20">
        <v>675835</v>
      </c>
      <c r="R34" s="20">
        <v>652596</v>
      </c>
      <c r="S34" s="20">
        <v>703517</v>
      </c>
      <c r="T34" s="20">
        <v>606134</v>
      </c>
      <c r="U34" s="20">
        <v>647763</v>
      </c>
      <c r="V34" s="20">
        <v>660282</v>
      </c>
      <c r="W34" s="20">
        <v>699242</v>
      </c>
      <c r="X34" s="46">
        <f>W34+'Use Tax'!M33</f>
        <v>770919</v>
      </c>
      <c r="Y34" s="46">
        <f t="shared" si="5"/>
        <v>678369</v>
      </c>
      <c r="Z34" s="46"/>
      <c r="AA34" s="20">
        <f>SUM(AA30:AA33)</f>
        <v>13346703</v>
      </c>
      <c r="AC34" s="5" t="s">
        <v>18</v>
      </c>
      <c r="AD34" s="20" t="s">
        <v>18</v>
      </c>
      <c r="AE34" s="64" t="s">
        <v>18</v>
      </c>
    </row>
    <row r="35" spans="1:31" ht="12.75">
      <c r="A35" s="3" t="s">
        <v>9</v>
      </c>
      <c r="F35" s="17">
        <v>480040</v>
      </c>
      <c r="G35" s="17">
        <v>472120</v>
      </c>
      <c r="H35" s="17">
        <v>490498</v>
      </c>
      <c r="I35" s="17">
        <v>583539</v>
      </c>
      <c r="J35" s="17">
        <v>405331</v>
      </c>
      <c r="K35" s="20">
        <v>521946</v>
      </c>
      <c r="L35" s="20">
        <v>566383</v>
      </c>
      <c r="M35" s="20">
        <v>549658</v>
      </c>
      <c r="N35" s="20">
        <v>591357</v>
      </c>
      <c r="O35" s="20">
        <v>616647</v>
      </c>
      <c r="P35" s="20">
        <v>599540</v>
      </c>
      <c r="Q35" s="20">
        <v>662651</v>
      </c>
      <c r="R35" s="20">
        <v>707336</v>
      </c>
      <c r="S35" s="20">
        <v>703089</v>
      </c>
      <c r="T35" s="20">
        <v>637302</v>
      </c>
      <c r="U35" s="20">
        <v>662548</v>
      </c>
      <c r="V35" s="20">
        <v>662964</v>
      </c>
      <c r="W35" s="20">
        <v>699722</v>
      </c>
      <c r="X35" s="46">
        <f>W35+'Use Tax'!M34</f>
        <v>762675</v>
      </c>
      <c r="Y35" s="46">
        <f t="shared" si="5"/>
        <v>712634</v>
      </c>
      <c r="Z35" s="46"/>
      <c r="AD35" s="64" t="s">
        <v>18</v>
      </c>
      <c r="AE35" t="s">
        <v>18</v>
      </c>
    </row>
    <row r="36" spans="1:29" ht="12.75">
      <c r="A36" s="3" t="s">
        <v>10</v>
      </c>
      <c r="F36" s="17">
        <v>421155</v>
      </c>
      <c r="G36" s="17">
        <v>400000</v>
      </c>
      <c r="H36" s="17">
        <v>426449</v>
      </c>
      <c r="I36" s="17">
        <v>567643</v>
      </c>
      <c r="J36" s="17">
        <v>584696</v>
      </c>
      <c r="K36" s="20">
        <v>525063</v>
      </c>
      <c r="L36" s="20">
        <v>562055</v>
      </c>
      <c r="M36" s="20">
        <v>577057</v>
      </c>
      <c r="N36" s="20">
        <v>561175</v>
      </c>
      <c r="O36" s="20">
        <v>638341</v>
      </c>
      <c r="P36" s="20">
        <v>661187</v>
      </c>
      <c r="Q36" s="20">
        <v>651837</v>
      </c>
      <c r="R36" s="20">
        <v>658309</v>
      </c>
      <c r="S36" s="20">
        <v>712545</v>
      </c>
      <c r="T36" s="20">
        <v>745678</v>
      </c>
      <c r="U36" s="20">
        <v>610986</v>
      </c>
      <c r="V36" s="20">
        <v>672177</v>
      </c>
      <c r="W36" s="20">
        <v>741990</v>
      </c>
      <c r="X36" s="46">
        <f>W36+'Use Tax'!M35</f>
        <v>788840</v>
      </c>
      <c r="Y36" s="46">
        <f t="shared" si="5"/>
        <v>723331</v>
      </c>
      <c r="Z36" s="46"/>
      <c r="AC36" s="42" t="s">
        <v>18</v>
      </c>
    </row>
    <row r="37" spans="1:26" ht="12.75">
      <c r="A37" s="3" t="s">
        <v>11</v>
      </c>
      <c r="F37" s="17">
        <v>429522</v>
      </c>
      <c r="G37" s="17">
        <v>471930</v>
      </c>
      <c r="H37" s="17">
        <v>510595</v>
      </c>
      <c r="I37" s="17">
        <v>527332</v>
      </c>
      <c r="J37" s="17">
        <v>573883</v>
      </c>
      <c r="K37" s="20">
        <v>612137</v>
      </c>
      <c r="L37" s="20">
        <v>602445</v>
      </c>
      <c r="M37" s="20">
        <v>618626</v>
      </c>
      <c r="N37" s="20">
        <v>583908</v>
      </c>
      <c r="O37" s="20">
        <v>680673</v>
      </c>
      <c r="P37" s="20">
        <v>716033</v>
      </c>
      <c r="Q37" s="20">
        <v>698120</v>
      </c>
      <c r="R37" s="20">
        <v>657690</v>
      </c>
      <c r="S37" s="20">
        <v>718498</v>
      </c>
      <c r="T37" s="20">
        <v>615730</v>
      </c>
      <c r="U37" s="20">
        <v>674014</v>
      </c>
      <c r="V37" s="20">
        <v>621292</v>
      </c>
      <c r="W37" s="20">
        <v>785412</v>
      </c>
      <c r="X37" s="46">
        <f>W37+'Use Tax'!M36</f>
        <v>852492</v>
      </c>
      <c r="Y37" s="46">
        <f t="shared" si="5"/>
        <v>679718</v>
      </c>
      <c r="Z37" s="46"/>
    </row>
    <row r="38" spans="1:26" ht="12.75">
      <c r="A38" s="3" t="s">
        <v>12</v>
      </c>
      <c r="F38" s="17">
        <v>420812</v>
      </c>
      <c r="G38" s="17">
        <v>504988</v>
      </c>
      <c r="H38" s="17">
        <v>592731</v>
      </c>
      <c r="I38" s="17">
        <v>434354</v>
      </c>
      <c r="J38" s="17">
        <v>530741</v>
      </c>
      <c r="K38" s="20">
        <v>520032</v>
      </c>
      <c r="L38" s="20">
        <v>597693</v>
      </c>
      <c r="M38" s="20">
        <v>527125</v>
      </c>
      <c r="N38" s="20">
        <v>612661</v>
      </c>
      <c r="O38" s="20">
        <v>620793</v>
      </c>
      <c r="P38" s="20">
        <v>637899</v>
      </c>
      <c r="Q38" s="20">
        <v>604585</v>
      </c>
      <c r="R38" s="20">
        <v>621918</v>
      </c>
      <c r="S38" s="20">
        <v>674396</v>
      </c>
      <c r="T38" s="20">
        <v>636379</v>
      </c>
      <c r="U38" s="20">
        <v>649887</v>
      </c>
      <c r="V38" s="20">
        <v>648810</v>
      </c>
      <c r="W38" s="20">
        <v>627614</v>
      </c>
      <c r="X38" s="46">
        <f>W38+'Use Tax'!M37</f>
        <v>711440</v>
      </c>
      <c r="Y38" s="46">
        <f t="shared" si="5"/>
        <v>679268</v>
      </c>
      <c r="Z38" s="46"/>
    </row>
    <row r="39" spans="1:26" ht="12.75">
      <c r="A39" s="3" t="s">
        <v>13</v>
      </c>
      <c r="F39" s="17">
        <v>461029</v>
      </c>
      <c r="G39" s="17">
        <v>452077</v>
      </c>
      <c r="H39" s="17">
        <v>427513</v>
      </c>
      <c r="I39" s="17">
        <v>585077</v>
      </c>
      <c r="J39" s="17">
        <v>622751</v>
      </c>
      <c r="K39" s="20">
        <v>690590</v>
      </c>
      <c r="L39" s="20">
        <v>634111</v>
      </c>
      <c r="M39" s="20">
        <v>655563</v>
      </c>
      <c r="N39" s="20">
        <v>665677</v>
      </c>
      <c r="O39" s="20">
        <v>671880</v>
      </c>
      <c r="P39" s="20">
        <v>709032</v>
      </c>
      <c r="Q39" s="20">
        <v>714032</v>
      </c>
      <c r="R39" s="20">
        <v>807947</v>
      </c>
      <c r="S39" s="20">
        <v>720194</v>
      </c>
      <c r="T39" s="20">
        <v>708526</v>
      </c>
      <c r="U39" s="20">
        <v>728390</v>
      </c>
      <c r="V39" s="20">
        <v>724995</v>
      </c>
      <c r="W39" s="20">
        <v>773088</v>
      </c>
      <c r="X39" s="46">
        <f>W39+'Use Tax'!M38</f>
        <v>844631</v>
      </c>
      <c r="Y39" s="46">
        <f t="shared" si="5"/>
        <v>754476</v>
      </c>
      <c r="Z39" s="46"/>
    </row>
    <row r="40" spans="1:31" ht="12.75">
      <c r="A40" s="3" t="s">
        <v>14</v>
      </c>
      <c r="F40" s="17">
        <v>413321</v>
      </c>
      <c r="G40" s="17">
        <v>477467</v>
      </c>
      <c r="H40" s="17">
        <v>599431</v>
      </c>
      <c r="I40" s="17">
        <v>506427</v>
      </c>
      <c r="J40" s="17">
        <v>511178</v>
      </c>
      <c r="K40" s="20">
        <v>620158</v>
      </c>
      <c r="L40" s="20">
        <v>644332</v>
      </c>
      <c r="M40" s="20">
        <v>598794</v>
      </c>
      <c r="N40" s="20">
        <v>582374</v>
      </c>
      <c r="O40" s="20">
        <v>651323</v>
      </c>
      <c r="P40" s="20">
        <v>679734</v>
      </c>
      <c r="Q40" s="20">
        <v>686898</v>
      </c>
      <c r="R40" s="20">
        <v>622763</v>
      </c>
      <c r="S40" s="20">
        <v>659603</v>
      </c>
      <c r="T40" s="20">
        <v>668244</v>
      </c>
      <c r="U40" s="20">
        <v>634227</v>
      </c>
      <c r="V40" s="20">
        <v>688335</v>
      </c>
      <c r="W40" s="20">
        <v>766049</v>
      </c>
      <c r="X40" s="46">
        <f>W40+'Use Tax'!M39</f>
        <v>839878</v>
      </c>
      <c r="Y40" s="46">
        <f t="shared" si="5"/>
        <v>677750</v>
      </c>
      <c r="Z40" s="46"/>
      <c r="AE40" s="20" t="s">
        <v>18</v>
      </c>
    </row>
    <row r="41" spans="1:26" ht="12.75">
      <c r="A41" s="3" t="s">
        <v>15</v>
      </c>
      <c r="B41" s="15"/>
      <c r="C41" s="15"/>
      <c r="D41" s="15"/>
      <c r="E41" s="15"/>
      <c r="F41" s="18">
        <v>414373</v>
      </c>
      <c r="G41" s="18">
        <v>364320</v>
      </c>
      <c r="H41" s="18">
        <v>308586</v>
      </c>
      <c r="I41" s="18">
        <v>468636</v>
      </c>
      <c r="J41" s="18">
        <v>473033</v>
      </c>
      <c r="K41" s="21">
        <v>555452</v>
      </c>
      <c r="L41" s="21">
        <v>559358</v>
      </c>
      <c r="M41" s="22">
        <v>589485</v>
      </c>
      <c r="N41" s="21">
        <v>632245</v>
      </c>
      <c r="O41" s="21">
        <v>648432</v>
      </c>
      <c r="P41" s="21">
        <v>656111</v>
      </c>
      <c r="Q41" s="21">
        <v>638488</v>
      </c>
      <c r="R41" s="21">
        <v>666978</v>
      </c>
      <c r="S41" s="21">
        <v>709485</v>
      </c>
      <c r="T41" s="21">
        <v>685525</v>
      </c>
      <c r="U41" s="56">
        <v>671590</v>
      </c>
      <c r="V41" s="39">
        <v>721145</v>
      </c>
      <c r="W41" s="58"/>
      <c r="X41" s="31" t="s">
        <v>18</v>
      </c>
      <c r="Y41" s="46">
        <f t="shared" si="5"/>
        <v>733825</v>
      </c>
      <c r="Z41" s="46"/>
    </row>
    <row r="42" spans="1:26" ht="13.5" thickBot="1">
      <c r="A42" s="10" t="s">
        <v>16</v>
      </c>
      <c r="B42" s="16"/>
      <c r="C42" s="16"/>
      <c r="D42" s="16"/>
      <c r="E42" s="16"/>
      <c r="F42" s="19">
        <f aca="true" t="shared" si="6" ref="F42:Q42">SUM(F30:F41)</f>
        <v>4025876</v>
      </c>
      <c r="G42" s="19">
        <f t="shared" si="6"/>
        <v>5320044</v>
      </c>
      <c r="H42" s="19">
        <f t="shared" si="6"/>
        <v>5745283</v>
      </c>
      <c r="I42" s="19">
        <f t="shared" si="6"/>
        <v>6197485</v>
      </c>
      <c r="J42" s="19">
        <f t="shared" si="6"/>
        <v>6321402</v>
      </c>
      <c r="K42" s="19">
        <f t="shared" si="6"/>
        <v>6963231</v>
      </c>
      <c r="L42" s="19">
        <f t="shared" si="6"/>
        <v>7076972</v>
      </c>
      <c r="M42" s="19">
        <f t="shared" si="6"/>
        <v>6998303</v>
      </c>
      <c r="N42" s="19">
        <f t="shared" si="6"/>
        <v>7145700</v>
      </c>
      <c r="O42" s="19">
        <f t="shared" si="6"/>
        <v>7605913</v>
      </c>
      <c r="P42" s="19">
        <f t="shared" si="6"/>
        <v>7869536</v>
      </c>
      <c r="Q42" s="19">
        <f t="shared" si="6"/>
        <v>7970720</v>
      </c>
      <c r="R42" s="19">
        <f aca="true" t="shared" si="7" ref="R42:X42">SUM(R30:R41)</f>
        <v>7977877</v>
      </c>
      <c r="S42" s="19">
        <f t="shared" si="7"/>
        <v>8314800</v>
      </c>
      <c r="T42" s="19">
        <f t="shared" si="7"/>
        <v>7981602</v>
      </c>
      <c r="U42" s="19">
        <f t="shared" si="7"/>
        <v>7850123</v>
      </c>
      <c r="V42" s="19">
        <f t="shared" si="7"/>
        <v>8030846</v>
      </c>
      <c r="W42" s="19">
        <f t="shared" si="7"/>
        <v>7850700</v>
      </c>
      <c r="X42" s="54">
        <f t="shared" si="7"/>
        <v>8607450</v>
      </c>
      <c r="Y42" s="54">
        <f>SUM(Y30:Y41)</f>
        <v>8390798</v>
      </c>
      <c r="Z42" s="54"/>
    </row>
    <row r="43" spans="1:23" ht="13.5" thickTop="1">
      <c r="A43" s="26" t="s">
        <v>19</v>
      </c>
      <c r="K43" s="23">
        <v>6090000</v>
      </c>
      <c r="L43" s="23">
        <v>6380000</v>
      </c>
      <c r="M43" s="23">
        <v>7000000</v>
      </c>
      <c r="N43" s="23">
        <v>7070000</v>
      </c>
      <c r="O43" s="23">
        <v>6820000</v>
      </c>
      <c r="P43" s="23">
        <v>7500000</v>
      </c>
      <c r="Q43" s="23">
        <v>7500000</v>
      </c>
      <c r="R43" s="23">
        <v>8550000</v>
      </c>
      <c r="S43" s="23">
        <v>8380000</v>
      </c>
      <c r="T43" s="23">
        <v>8530000</v>
      </c>
      <c r="W43" s="23">
        <v>7733000</v>
      </c>
    </row>
    <row r="44" ht="12.75">
      <c r="AD44" s="20" t="s">
        <v>18</v>
      </c>
    </row>
    <row r="45" spans="1:30" ht="12.75">
      <c r="A45" t="s">
        <v>27</v>
      </c>
      <c r="H45" s="32">
        <f>H42/G42-1</f>
        <v>0.0799</v>
      </c>
      <c r="I45" s="32">
        <f aca="true" t="shared" si="8" ref="I45:W45">I42/H42-1</f>
        <v>0.0787</v>
      </c>
      <c r="J45" s="32">
        <f t="shared" si="8"/>
        <v>0.02</v>
      </c>
      <c r="K45" s="32">
        <f t="shared" si="8"/>
        <v>0.1015</v>
      </c>
      <c r="L45" s="32">
        <f t="shared" si="8"/>
        <v>0.0163</v>
      </c>
      <c r="M45" s="32">
        <f t="shared" si="8"/>
        <v>-0.0111</v>
      </c>
      <c r="N45" s="32">
        <f t="shared" si="8"/>
        <v>0.0211</v>
      </c>
      <c r="O45" s="32">
        <f t="shared" si="8"/>
        <v>0.0644</v>
      </c>
      <c r="P45" s="32">
        <f t="shared" si="8"/>
        <v>0.0347</v>
      </c>
      <c r="Q45" s="32">
        <f t="shared" si="8"/>
        <v>0.0129</v>
      </c>
      <c r="R45" s="32">
        <f t="shared" si="8"/>
        <v>0.0009</v>
      </c>
      <c r="S45" s="32">
        <f t="shared" si="8"/>
        <v>0.0422</v>
      </c>
      <c r="T45" s="32">
        <f t="shared" si="8"/>
        <v>-0.0401</v>
      </c>
      <c r="U45" s="32">
        <f t="shared" si="8"/>
        <v>-0.0165</v>
      </c>
      <c r="V45" s="32">
        <f t="shared" si="8"/>
        <v>0.023</v>
      </c>
      <c r="W45" s="32">
        <f>W42/(V42-V41)-1</f>
        <v>0.074</v>
      </c>
      <c r="AC45" s="37" t="s">
        <v>36</v>
      </c>
      <c r="AD45" t="s">
        <v>18</v>
      </c>
    </row>
    <row r="46" spans="8:20" ht="12.75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8:20" ht="12.75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8:20" ht="12.75">
      <c r="H48" s="32"/>
      <c r="I48" s="32"/>
      <c r="J48" s="32"/>
      <c r="K48" s="32"/>
      <c r="L48" s="32"/>
      <c r="M48" s="14" t="s">
        <v>0</v>
      </c>
      <c r="N48" s="32"/>
      <c r="O48" s="32"/>
      <c r="P48" s="32"/>
      <c r="Q48" s="32"/>
      <c r="R48" s="32"/>
      <c r="S48" s="32"/>
      <c r="T48" s="32"/>
    </row>
    <row r="49" spans="8:20" ht="12.75">
      <c r="H49" s="32"/>
      <c r="I49" s="32"/>
      <c r="J49" s="32"/>
      <c r="K49" s="32"/>
      <c r="L49" s="32"/>
      <c r="M49" s="14" t="s">
        <v>28</v>
      </c>
      <c r="N49" s="32"/>
      <c r="O49" s="32"/>
      <c r="P49" s="32"/>
      <c r="Q49" s="32"/>
      <c r="R49" s="32"/>
      <c r="S49" s="32"/>
      <c r="T49" s="32"/>
    </row>
    <row r="50" spans="8:20" ht="12.75">
      <c r="H50" s="32"/>
      <c r="I50" s="32"/>
      <c r="J50" s="32"/>
      <c r="K50" s="32"/>
      <c r="L50" s="32"/>
      <c r="M50" s="14" t="s">
        <v>2</v>
      </c>
      <c r="N50" s="32"/>
      <c r="O50" s="32"/>
      <c r="P50" s="32"/>
      <c r="Q50" s="32"/>
      <c r="R50" s="32"/>
      <c r="S50" s="32"/>
      <c r="T50" s="32"/>
    </row>
    <row r="51" spans="18:20" ht="12.75">
      <c r="R51" t="s">
        <v>18</v>
      </c>
      <c r="S51" s="20" t="s">
        <v>18</v>
      </c>
      <c r="T51" s="20"/>
    </row>
    <row r="52" spans="1:23" ht="15.75">
      <c r="A52" s="1" t="s">
        <v>3</v>
      </c>
      <c r="F52" s="2">
        <v>1995</v>
      </c>
      <c r="G52" s="2">
        <v>1996</v>
      </c>
      <c r="H52" s="2">
        <v>1997</v>
      </c>
      <c r="I52" s="2">
        <v>1998</v>
      </c>
      <c r="J52" s="2">
        <v>1999</v>
      </c>
      <c r="K52" s="2">
        <v>2000</v>
      </c>
      <c r="L52" s="2">
        <v>2001</v>
      </c>
      <c r="M52" s="2">
        <v>2002</v>
      </c>
      <c r="N52" s="2">
        <v>2003</v>
      </c>
      <c r="O52" s="2">
        <v>2004</v>
      </c>
      <c r="P52" s="2">
        <v>2005</v>
      </c>
      <c r="Q52" s="2">
        <v>2006</v>
      </c>
      <c r="R52" s="2">
        <v>2007</v>
      </c>
      <c r="S52" s="2">
        <v>2008</v>
      </c>
      <c r="T52" s="2">
        <v>2009</v>
      </c>
      <c r="U52" s="2">
        <v>2010</v>
      </c>
      <c r="V52" s="2">
        <v>2011</v>
      </c>
      <c r="W52" s="2">
        <v>2012</v>
      </c>
    </row>
    <row r="53" spans="1:26" ht="12.75">
      <c r="A53" s="3" t="s">
        <v>4</v>
      </c>
      <c r="U53" s="42">
        <v>295159</v>
      </c>
      <c r="V53" s="42">
        <v>315848</v>
      </c>
      <c r="W53" s="42">
        <f aca="true" t="shared" si="9" ref="W53:W63">W7*0.3</f>
        <v>335565</v>
      </c>
      <c r="X53" s="46">
        <f>W53+'Use Tax'!M50</f>
        <v>368181</v>
      </c>
      <c r="Y53" s="46"/>
      <c r="Z53" s="46"/>
    </row>
    <row r="54" spans="1:26" ht="12.75">
      <c r="A54" s="3" t="s">
        <v>5</v>
      </c>
      <c r="U54" s="42">
        <v>313157</v>
      </c>
      <c r="V54" s="42">
        <v>349374</v>
      </c>
      <c r="W54" s="42">
        <f t="shared" si="9"/>
        <v>358798</v>
      </c>
      <c r="X54" s="46">
        <f>W54+'Use Tax'!M51</f>
        <v>393685</v>
      </c>
      <c r="Y54" s="43"/>
      <c r="Z54" s="43"/>
    </row>
    <row r="55" spans="1:26" ht="12.75">
      <c r="A55" s="3" t="s">
        <v>6</v>
      </c>
      <c r="U55" s="42">
        <v>311610</v>
      </c>
      <c r="V55" s="42">
        <f>1728708.85*0.3/1.55</f>
        <v>334589</v>
      </c>
      <c r="W55" s="42">
        <f t="shared" si="9"/>
        <v>345512</v>
      </c>
      <c r="X55" s="46">
        <f>W55+'Use Tax'!M52</f>
        <v>374710</v>
      </c>
      <c r="Y55" s="43"/>
      <c r="Z55" s="43"/>
    </row>
    <row r="56" spans="1:27" ht="12.75">
      <c r="A56" s="3" t="s">
        <v>7</v>
      </c>
      <c r="U56" s="42">
        <v>288791</v>
      </c>
      <c r="V56" s="42">
        <f>1380088.97*0.3/1.55</f>
        <v>267114</v>
      </c>
      <c r="W56" s="42">
        <f t="shared" si="9"/>
        <v>287447</v>
      </c>
      <c r="X56" s="46">
        <f>W56+'Use Tax'!M53</f>
        <v>313798</v>
      </c>
      <c r="Y56" s="43"/>
      <c r="Z56" s="43"/>
      <c r="AA56" s="42" t="s">
        <v>18</v>
      </c>
    </row>
    <row r="57" spans="1:26" ht="12.75">
      <c r="A57" s="3" t="s">
        <v>8</v>
      </c>
      <c r="T57" s="34">
        <v>28011</v>
      </c>
      <c r="U57" s="42">
        <v>305784</v>
      </c>
      <c r="V57" s="42">
        <f>1654398.88*0.3/1.55</f>
        <v>320206</v>
      </c>
      <c r="W57" s="42">
        <f t="shared" si="9"/>
        <v>336454</v>
      </c>
      <c r="X57" s="46">
        <f>W57+'Use Tax'!M54</f>
        <v>367783</v>
      </c>
      <c r="Y57" s="43"/>
      <c r="Z57" s="43"/>
    </row>
    <row r="58" spans="1:26" ht="12.75">
      <c r="A58" s="3" t="s">
        <v>9</v>
      </c>
      <c r="T58" s="38">
        <v>290879</v>
      </c>
      <c r="U58" s="42">
        <v>306716</v>
      </c>
      <c r="V58" s="42">
        <f>1666899.21*0.3/1.55</f>
        <v>322626</v>
      </c>
      <c r="W58" s="42">
        <f t="shared" si="9"/>
        <v>335608</v>
      </c>
      <c r="X58" s="46">
        <f>W58+'Use Tax'!M55</f>
        <v>362580</v>
      </c>
      <c r="Y58" s="43"/>
      <c r="Z58" s="43"/>
    </row>
    <row r="59" spans="1:26" ht="12.75">
      <c r="A59" s="3" t="s">
        <v>10</v>
      </c>
      <c r="T59" s="30">
        <v>327195</v>
      </c>
      <c r="U59" s="42">
        <v>290500</v>
      </c>
      <c r="V59" s="42">
        <f>1684757.22*0.3/1.55</f>
        <v>326082</v>
      </c>
      <c r="W59" s="42">
        <f t="shared" si="9"/>
        <v>354579</v>
      </c>
      <c r="X59" s="46">
        <f>W59+'Use Tax'!M56</f>
        <v>375825</v>
      </c>
      <c r="Y59" s="43"/>
      <c r="Z59" s="43"/>
    </row>
    <row r="60" spans="1:26" ht="12.75">
      <c r="A60" s="3" t="s">
        <v>11</v>
      </c>
      <c r="T60" s="30">
        <v>286528</v>
      </c>
      <c r="U60" s="42">
        <v>316902</v>
      </c>
      <c r="V60" s="42">
        <f>V14*0.3</f>
        <v>297148</v>
      </c>
      <c r="W60" s="42">
        <f t="shared" si="9"/>
        <v>372266</v>
      </c>
      <c r="X60" s="46">
        <f>W60+'Use Tax'!M57</f>
        <v>402796</v>
      </c>
      <c r="Y60" s="43"/>
      <c r="Z60" s="43"/>
    </row>
    <row r="61" spans="1:26" ht="12.75">
      <c r="A61" s="3" t="s">
        <v>12</v>
      </c>
      <c r="T61" s="30">
        <v>294630</v>
      </c>
      <c r="U61" s="43">
        <v>303979</v>
      </c>
      <c r="V61" s="42">
        <f>V15*0.3</f>
        <v>310781</v>
      </c>
      <c r="W61" s="42">
        <f t="shared" si="9"/>
        <v>295396</v>
      </c>
      <c r="X61" s="46">
        <f>W61+'Use Tax'!M58</f>
        <v>328483</v>
      </c>
      <c r="Y61" s="43"/>
      <c r="Z61" s="43"/>
    </row>
    <row r="62" spans="1:26" ht="12.75">
      <c r="A62" s="3" t="s">
        <v>13</v>
      </c>
      <c r="T62" s="30">
        <v>335778</v>
      </c>
      <c r="U62" s="42">
        <v>336042</v>
      </c>
      <c r="V62" s="42">
        <f>V16*0.3</f>
        <v>349866</v>
      </c>
      <c r="W62" s="42">
        <f t="shared" si="9"/>
        <v>366933</v>
      </c>
      <c r="X62" s="46">
        <f>W62+'Use Tax'!M59</f>
        <v>396353</v>
      </c>
      <c r="Y62" s="43"/>
      <c r="Z62" s="43"/>
    </row>
    <row r="63" spans="1:26" ht="12.75">
      <c r="A63" s="3" t="s">
        <v>14</v>
      </c>
      <c r="T63" s="30">
        <v>314003</v>
      </c>
      <c r="U63" s="42">
        <v>296116</v>
      </c>
      <c r="V63" s="42">
        <f>V17*0.3</f>
        <v>332792</v>
      </c>
      <c r="W63" s="42">
        <f t="shared" si="9"/>
        <v>362444</v>
      </c>
      <c r="X63" s="46">
        <f>W63+'Use Tax'!M60</f>
        <v>394791</v>
      </c>
      <c r="Y63" s="43"/>
      <c r="Z63" s="43"/>
    </row>
    <row r="64" spans="1:26" ht="12.75">
      <c r="A64" s="3" t="s">
        <v>15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39">
        <v>325941</v>
      </c>
      <c r="U64" s="57">
        <v>319127</v>
      </c>
      <c r="V64" s="39">
        <f>V18*0.3</f>
        <v>348779</v>
      </c>
      <c r="W64" s="42"/>
      <c r="X64" s="62" t="s">
        <v>18</v>
      </c>
      <c r="Y64" s="62"/>
      <c r="Z64" s="62"/>
    </row>
    <row r="65" spans="1:26" ht="13.5" thickBot="1">
      <c r="A65" s="10" t="s">
        <v>16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>
        <f>SUM(T57:T64)</f>
        <v>2202965</v>
      </c>
      <c r="U65" s="19">
        <f>SUM(U53:U64)</f>
        <v>3683883</v>
      </c>
      <c r="V65" s="19">
        <f>SUM(V53:V64)</f>
        <v>3875205</v>
      </c>
      <c r="W65" s="19">
        <f>SUM(W53:W64)</f>
        <v>3751002</v>
      </c>
      <c r="X65" s="43">
        <f>SUM(X53:X64)</f>
        <v>4078985</v>
      </c>
      <c r="Y65" s="43"/>
      <c r="Z65" s="43"/>
    </row>
    <row r="66" spans="20:23" ht="13.5" thickTop="1">
      <c r="T66" s="36"/>
      <c r="U66" s="42"/>
      <c r="V66" s="42"/>
      <c r="W66" s="42"/>
    </row>
    <row r="67" spans="21:23" ht="12.75">
      <c r="U67" s="42"/>
      <c r="V67" s="42"/>
      <c r="W67" s="42"/>
    </row>
    <row r="68" spans="8:23" ht="12.75">
      <c r="H68" s="32"/>
      <c r="I68" s="32"/>
      <c r="J68" s="32"/>
      <c r="K68" s="32"/>
      <c r="L68" s="32"/>
      <c r="M68" s="14" t="s">
        <v>0</v>
      </c>
      <c r="N68" s="32"/>
      <c r="O68" s="32"/>
      <c r="P68" s="32"/>
      <c r="Q68" s="32"/>
      <c r="R68" s="32"/>
      <c r="S68" s="32"/>
      <c r="T68" s="32"/>
      <c r="U68" s="42"/>
      <c r="V68" s="42"/>
      <c r="W68" s="42"/>
    </row>
    <row r="69" spans="8:23" ht="12.75">
      <c r="H69" s="32"/>
      <c r="I69" s="32"/>
      <c r="J69" s="32"/>
      <c r="K69" s="32"/>
      <c r="L69" s="32"/>
      <c r="M69" s="14" t="s">
        <v>29</v>
      </c>
      <c r="N69" s="32"/>
      <c r="O69" s="32"/>
      <c r="P69" s="32"/>
      <c r="Q69" s="32"/>
      <c r="R69" s="32"/>
      <c r="S69" s="32"/>
      <c r="T69" s="32"/>
      <c r="U69" s="42"/>
      <c r="V69" s="42"/>
      <c r="W69" s="42"/>
    </row>
    <row r="70" spans="8:23" ht="12.75">
      <c r="H70" s="32"/>
      <c r="I70" s="32"/>
      <c r="J70" s="32"/>
      <c r="K70" s="32"/>
      <c r="L70" s="32"/>
      <c r="M70" s="14" t="s">
        <v>2</v>
      </c>
      <c r="N70" s="32"/>
      <c r="O70" s="32"/>
      <c r="P70" s="32"/>
      <c r="Q70" s="32"/>
      <c r="R70" s="32"/>
      <c r="S70" s="32"/>
      <c r="T70" s="32"/>
      <c r="U70" s="42"/>
      <c r="V70" s="42"/>
      <c r="W70" s="42"/>
    </row>
    <row r="71" spans="18:36" ht="12.75">
      <c r="R71" t="s">
        <v>18</v>
      </c>
      <c r="S71" s="20" t="s">
        <v>18</v>
      </c>
      <c r="T71" s="20"/>
      <c r="U71" s="42"/>
      <c r="V71" s="42"/>
      <c r="W71" s="42"/>
      <c r="X71" s="32"/>
      <c r="Y71" s="32"/>
      <c r="Z71" s="32"/>
      <c r="AA71" s="32"/>
      <c r="AB71" s="32"/>
      <c r="AC71" s="14"/>
      <c r="AD71" s="32"/>
      <c r="AE71" s="32"/>
      <c r="AF71" s="32"/>
      <c r="AG71" s="32"/>
      <c r="AH71" s="32"/>
      <c r="AI71" s="32"/>
      <c r="AJ71" s="32"/>
    </row>
    <row r="72" spans="1:36" ht="15.75">
      <c r="A72" s="1" t="s">
        <v>3</v>
      </c>
      <c r="F72" s="2">
        <v>1995</v>
      </c>
      <c r="G72" s="2">
        <v>1996</v>
      </c>
      <c r="H72" s="2">
        <v>1997</v>
      </c>
      <c r="I72" s="2">
        <v>1998</v>
      </c>
      <c r="J72" s="2">
        <v>1999</v>
      </c>
      <c r="K72" s="2">
        <v>2000</v>
      </c>
      <c r="L72" s="2">
        <v>2001</v>
      </c>
      <c r="M72" s="2">
        <v>2002</v>
      </c>
      <c r="N72" s="2">
        <v>2003</v>
      </c>
      <c r="O72" s="2">
        <v>2004</v>
      </c>
      <c r="P72" s="2">
        <v>2005</v>
      </c>
      <c r="Q72" s="2">
        <v>2006</v>
      </c>
      <c r="R72" s="2">
        <v>2007</v>
      </c>
      <c r="S72" s="2">
        <v>2008</v>
      </c>
      <c r="T72" s="2">
        <v>2009</v>
      </c>
      <c r="U72" s="44">
        <v>2010</v>
      </c>
      <c r="V72" s="2">
        <v>2011</v>
      </c>
      <c r="W72" s="2">
        <v>2012</v>
      </c>
      <c r="X72" s="32"/>
      <c r="Y72" s="32"/>
      <c r="Z72" s="32"/>
      <c r="AA72" s="32"/>
      <c r="AB72" s="32"/>
      <c r="AC72" s="14"/>
      <c r="AD72" s="32"/>
      <c r="AE72" s="32"/>
      <c r="AF72" s="32"/>
      <c r="AG72" s="32"/>
      <c r="AH72" s="32"/>
      <c r="AI72" s="32"/>
      <c r="AJ72" s="32"/>
    </row>
    <row r="73" spans="1:36" ht="12.75">
      <c r="A73" s="3" t="s">
        <v>4</v>
      </c>
      <c r="U73" s="42">
        <v>196773</v>
      </c>
      <c r="V73" s="42">
        <v>210566</v>
      </c>
      <c r="W73" s="42">
        <f aca="true" t="shared" si="10" ref="W73:W83">W7*0.2</f>
        <v>223710</v>
      </c>
      <c r="X73" s="43">
        <f>W73+'Use Tax'!M71</f>
        <v>245454</v>
      </c>
      <c r="Y73" s="43"/>
      <c r="Z73" s="43"/>
      <c r="AA73" s="32"/>
      <c r="AB73" s="32"/>
      <c r="AC73" s="14"/>
      <c r="AD73" s="32"/>
      <c r="AE73" s="32"/>
      <c r="AF73" s="32"/>
      <c r="AG73" s="32"/>
      <c r="AH73" s="32"/>
      <c r="AI73" s="32"/>
      <c r="AJ73" s="32"/>
    </row>
    <row r="74" spans="1:36" ht="12.75">
      <c r="A74" s="3" t="s">
        <v>5</v>
      </c>
      <c r="U74" s="42">
        <v>208771</v>
      </c>
      <c r="V74" s="42">
        <v>232916</v>
      </c>
      <c r="W74" s="42">
        <f t="shared" si="10"/>
        <v>239199</v>
      </c>
      <c r="X74" s="43">
        <f>W74+'Use Tax'!M72</f>
        <v>262457</v>
      </c>
      <c r="Y74" s="43"/>
      <c r="Z74" s="43"/>
      <c r="AI74" s="20"/>
      <c r="AJ74" s="20"/>
    </row>
    <row r="75" spans="1:36" ht="12.75">
      <c r="A75" s="3" t="s">
        <v>6</v>
      </c>
      <c r="U75" s="42">
        <v>207740</v>
      </c>
      <c r="V75" s="42">
        <f aca="true" t="shared" si="11" ref="V75:V84">V9*0.2</f>
        <v>223059</v>
      </c>
      <c r="W75" s="42">
        <f t="shared" si="10"/>
        <v>230341</v>
      </c>
      <c r="X75" s="43">
        <f>W75+'Use Tax'!M73</f>
        <v>249806</v>
      </c>
      <c r="Y75" s="43"/>
      <c r="Z75" s="43"/>
      <c r="AA75" s="35" t="s">
        <v>18</v>
      </c>
      <c r="AB75" s="35"/>
      <c r="AC75" s="35"/>
      <c r="AD75" s="35"/>
      <c r="AE75" s="35"/>
      <c r="AF75" s="35"/>
      <c r="AG75" s="35"/>
      <c r="AH75" s="35"/>
      <c r="AI75" s="35"/>
      <c r="AJ75" s="35"/>
    </row>
    <row r="76" spans="1:27" ht="12.75">
      <c r="A76" s="3" t="s">
        <v>7</v>
      </c>
      <c r="U76" s="42">
        <v>192527</v>
      </c>
      <c r="V76" s="42">
        <f t="shared" si="11"/>
        <v>178076</v>
      </c>
      <c r="W76" s="42">
        <f t="shared" si="10"/>
        <v>191631</v>
      </c>
      <c r="X76" s="43">
        <f>W76+'Use Tax'!M74</f>
        <v>209198</v>
      </c>
      <c r="Y76" s="43"/>
      <c r="Z76" s="43"/>
      <c r="AA76" s="42" t="s">
        <v>18</v>
      </c>
    </row>
    <row r="77" spans="1:26" ht="12.75">
      <c r="A77" s="3" t="s">
        <v>8</v>
      </c>
      <c r="S77" s="34"/>
      <c r="T77" s="34">
        <v>18675</v>
      </c>
      <c r="U77" s="42">
        <v>203856</v>
      </c>
      <c r="V77" s="42">
        <f t="shared" si="11"/>
        <v>213471</v>
      </c>
      <c r="W77" s="42">
        <f t="shared" si="10"/>
        <v>224302</v>
      </c>
      <c r="X77" s="43">
        <f>W77+'Use Tax'!M75</f>
        <v>245188</v>
      </c>
      <c r="Y77" s="43"/>
      <c r="Z77" s="43"/>
    </row>
    <row r="78" spans="1:26" ht="12.75">
      <c r="A78" s="3" t="s">
        <v>9</v>
      </c>
      <c r="S78" s="34"/>
      <c r="T78" s="38">
        <v>193919</v>
      </c>
      <c r="U78" s="42">
        <v>204477</v>
      </c>
      <c r="V78" s="42">
        <f t="shared" si="11"/>
        <v>215084</v>
      </c>
      <c r="W78" s="42">
        <f t="shared" si="10"/>
        <v>223739</v>
      </c>
      <c r="X78" s="43">
        <f>W78+'Use Tax'!M76</f>
        <v>241721</v>
      </c>
      <c r="Y78" s="43"/>
      <c r="Z78" s="43"/>
    </row>
    <row r="79" spans="1:26" ht="12.75">
      <c r="A79" s="3" t="s">
        <v>10</v>
      </c>
      <c r="T79" s="30">
        <v>218130</v>
      </c>
      <c r="U79" s="42">
        <v>193667</v>
      </c>
      <c r="V79" s="42">
        <f t="shared" si="11"/>
        <v>217388</v>
      </c>
      <c r="W79" s="42">
        <f t="shared" si="10"/>
        <v>236386</v>
      </c>
      <c r="X79" s="43">
        <f>W79+'Use Tax'!M77</f>
        <v>250550</v>
      </c>
      <c r="Y79" s="43"/>
      <c r="Z79" s="43"/>
    </row>
    <row r="80" spans="1:35" ht="12.75">
      <c r="A80" s="3" t="s">
        <v>11</v>
      </c>
      <c r="T80" s="30">
        <v>191019</v>
      </c>
      <c r="U80" s="42">
        <v>211268</v>
      </c>
      <c r="V80" s="42">
        <f t="shared" si="11"/>
        <v>198099</v>
      </c>
      <c r="W80" s="42">
        <f t="shared" si="10"/>
        <v>248178</v>
      </c>
      <c r="X80" s="43">
        <f>W80+'Use Tax'!M78</f>
        <v>268531</v>
      </c>
      <c r="Y80" s="43"/>
      <c r="Z80" s="43"/>
      <c r="AI80" s="34"/>
    </row>
    <row r="81" spans="1:35" ht="12.75">
      <c r="A81" s="3" t="s">
        <v>12</v>
      </c>
      <c r="T81" s="30">
        <v>196420</v>
      </c>
      <c r="U81" s="43">
        <v>202652</v>
      </c>
      <c r="V81" s="42">
        <f t="shared" si="11"/>
        <v>207187</v>
      </c>
      <c r="W81" s="42">
        <f t="shared" si="10"/>
        <v>196931</v>
      </c>
      <c r="X81" s="43">
        <f>W81+'Use Tax'!M79</f>
        <v>218989</v>
      </c>
      <c r="Y81" s="43"/>
      <c r="Z81" s="43"/>
      <c r="AI81" s="34"/>
    </row>
    <row r="82" spans="1:26" ht="12.75">
      <c r="A82" s="3" t="s">
        <v>13</v>
      </c>
      <c r="T82" s="30">
        <v>223852</v>
      </c>
      <c r="U82" s="42">
        <v>224028</v>
      </c>
      <c r="V82" s="42">
        <f t="shared" si="11"/>
        <v>233244</v>
      </c>
      <c r="W82" s="42">
        <f t="shared" si="10"/>
        <v>244622</v>
      </c>
      <c r="X82" s="43">
        <f>W82+'Use Tax'!M80</f>
        <v>264235</v>
      </c>
      <c r="Y82" s="43"/>
      <c r="Z82" s="43"/>
    </row>
    <row r="83" spans="1:26" ht="12.75">
      <c r="A83" s="3" t="s">
        <v>14</v>
      </c>
      <c r="T83" s="30">
        <v>209335</v>
      </c>
      <c r="U83" s="42">
        <v>197411</v>
      </c>
      <c r="V83" s="42">
        <f t="shared" si="11"/>
        <v>221861</v>
      </c>
      <c r="W83" s="42">
        <f t="shared" si="10"/>
        <v>241629</v>
      </c>
      <c r="X83" s="43">
        <f>W83+'Use Tax'!M81</f>
        <v>263193</v>
      </c>
      <c r="Y83" s="43"/>
      <c r="Z83" s="43"/>
    </row>
    <row r="84" spans="1:26" ht="12.75">
      <c r="A84" s="3" t="s">
        <v>15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39">
        <v>217294</v>
      </c>
      <c r="U84" s="57">
        <v>212751</v>
      </c>
      <c r="V84" s="39">
        <f t="shared" si="11"/>
        <v>232519</v>
      </c>
      <c r="W84" s="42"/>
      <c r="X84" s="62" t="s">
        <v>18</v>
      </c>
      <c r="Y84" s="62"/>
      <c r="Z84" s="62"/>
    </row>
    <row r="85" spans="1:26" ht="13.5" thickBot="1">
      <c r="A85" s="10" t="s">
        <v>16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>
        <f>SUM(T77:T84)</f>
        <v>1468644</v>
      </c>
      <c r="U85" s="19">
        <f>SUM(U73:U84)</f>
        <v>2455921</v>
      </c>
      <c r="V85" s="19">
        <f>SUM(V73:V84)</f>
        <v>2583470</v>
      </c>
      <c r="W85" s="19">
        <f>SUM(W73:W84)</f>
        <v>2500668</v>
      </c>
      <c r="X85" s="42">
        <f>SUM(X73:X84)</f>
        <v>2719322</v>
      </c>
      <c r="Y85" s="42"/>
      <c r="Z85" s="42"/>
    </row>
    <row r="86" spans="13:23" ht="13.5" thickTop="1">
      <c r="M86" s="3"/>
      <c r="T86" s="36"/>
      <c r="U86" s="42"/>
      <c r="V86" s="42"/>
      <c r="W86" s="42"/>
    </row>
    <row r="87" spans="13:23" ht="12.75">
      <c r="M87" s="3"/>
      <c r="U87" s="42"/>
      <c r="V87" s="42"/>
      <c r="W87" s="42"/>
    </row>
    <row r="88" spans="8:23" ht="12.75">
      <c r="H88" s="32"/>
      <c r="I88" s="32"/>
      <c r="J88" s="32"/>
      <c r="K88" s="32"/>
      <c r="L88" s="32"/>
      <c r="M88" s="14" t="s">
        <v>0</v>
      </c>
      <c r="N88" s="32"/>
      <c r="O88" s="32"/>
      <c r="P88" s="32"/>
      <c r="Q88" s="32"/>
      <c r="R88" s="32"/>
      <c r="S88" s="32"/>
      <c r="T88" s="32"/>
      <c r="U88" s="42"/>
      <c r="V88" s="42"/>
      <c r="W88" s="42"/>
    </row>
    <row r="89" spans="8:23" ht="12.75">
      <c r="H89" s="32"/>
      <c r="I89" s="32"/>
      <c r="J89" s="32"/>
      <c r="K89" s="32"/>
      <c r="L89" s="32"/>
      <c r="M89" s="14" t="s">
        <v>30</v>
      </c>
      <c r="N89" s="32"/>
      <c r="O89" s="32"/>
      <c r="P89" s="32"/>
      <c r="Q89" s="32"/>
      <c r="R89" s="32"/>
      <c r="S89" s="32"/>
      <c r="T89" s="32"/>
      <c r="U89" s="42"/>
      <c r="V89" s="42"/>
      <c r="W89" s="42"/>
    </row>
    <row r="90" spans="8:23" ht="12.75">
      <c r="H90" s="32"/>
      <c r="I90" s="32"/>
      <c r="J90" s="32"/>
      <c r="K90" s="32"/>
      <c r="L90" s="32"/>
      <c r="M90" s="14" t="s">
        <v>2</v>
      </c>
      <c r="N90" s="32"/>
      <c r="O90" s="32"/>
      <c r="P90" s="32"/>
      <c r="Q90" s="32"/>
      <c r="R90" s="32"/>
      <c r="S90" s="32"/>
      <c r="T90" s="32"/>
      <c r="U90" s="42"/>
      <c r="V90" s="42"/>
      <c r="W90" s="42"/>
    </row>
    <row r="91" spans="18:23" ht="12.75">
      <c r="R91" t="s">
        <v>18</v>
      </c>
      <c r="S91" s="20" t="s">
        <v>18</v>
      </c>
      <c r="T91" s="20"/>
      <c r="U91" s="42"/>
      <c r="V91" s="42"/>
      <c r="W91" s="42"/>
    </row>
    <row r="92" spans="1:23" ht="15.75">
      <c r="A92" s="1" t="s">
        <v>3</v>
      </c>
      <c r="F92" s="2">
        <v>1995</v>
      </c>
      <c r="G92" s="2">
        <v>1996</v>
      </c>
      <c r="H92" s="2">
        <v>1997</v>
      </c>
      <c r="I92" s="2">
        <v>1998</v>
      </c>
      <c r="J92" s="2">
        <v>1999</v>
      </c>
      <c r="K92" s="2">
        <v>2000</v>
      </c>
      <c r="L92" s="2">
        <v>2001</v>
      </c>
      <c r="M92" s="2">
        <v>2002</v>
      </c>
      <c r="N92" s="2">
        <v>2003</v>
      </c>
      <c r="O92" s="2">
        <v>2004</v>
      </c>
      <c r="P92" s="2">
        <v>2005</v>
      </c>
      <c r="Q92" s="2">
        <v>2006</v>
      </c>
      <c r="R92" s="2">
        <v>2007</v>
      </c>
      <c r="S92" s="2">
        <v>2008</v>
      </c>
      <c r="T92" s="2">
        <v>2009</v>
      </c>
      <c r="U92" s="44">
        <v>2010</v>
      </c>
      <c r="V92" s="2">
        <v>2011</v>
      </c>
      <c r="W92" s="2">
        <v>2012</v>
      </c>
    </row>
    <row r="93" spans="1:26" ht="12.75">
      <c r="A93" s="3" t="s">
        <v>4</v>
      </c>
      <c r="U93" s="42">
        <v>49193</v>
      </c>
      <c r="V93" s="42">
        <v>52641</v>
      </c>
      <c r="W93" s="42">
        <f aca="true" t="shared" si="12" ref="W93:W103">W7*0.05</f>
        <v>55927</v>
      </c>
      <c r="X93" s="43">
        <f>W93+'Use Tax'!M92</f>
        <v>61363</v>
      </c>
      <c r="Y93" s="43"/>
      <c r="Z93" s="43"/>
    </row>
    <row r="94" spans="1:26" ht="12.75">
      <c r="A94" s="3" t="s">
        <v>5</v>
      </c>
      <c r="U94" s="42">
        <v>52193</v>
      </c>
      <c r="V94" s="42">
        <v>58229</v>
      </c>
      <c r="W94" s="42">
        <f t="shared" si="12"/>
        <v>59800</v>
      </c>
      <c r="X94" s="43">
        <f>W94+'Use Tax'!M93</f>
        <v>65615</v>
      </c>
      <c r="Y94" s="43"/>
      <c r="Z94" s="43"/>
    </row>
    <row r="95" spans="1:26" ht="12.75">
      <c r="A95" s="3" t="s">
        <v>6</v>
      </c>
      <c r="U95" s="42">
        <v>51935</v>
      </c>
      <c r="V95" s="42">
        <f aca="true" t="shared" si="13" ref="V95:V104">V9*0.05</f>
        <v>55765</v>
      </c>
      <c r="W95" s="42">
        <f t="shared" si="12"/>
        <v>57585</v>
      </c>
      <c r="X95" s="43">
        <f>W95+'Use Tax'!M94</f>
        <v>62451</v>
      </c>
      <c r="Y95" s="43"/>
      <c r="Z95" s="43"/>
    </row>
    <row r="96" spans="1:27" ht="12.75">
      <c r="A96" s="3" t="s">
        <v>7</v>
      </c>
      <c r="U96" s="42">
        <v>48132</v>
      </c>
      <c r="V96" s="42">
        <f t="shared" si="13"/>
        <v>44519</v>
      </c>
      <c r="W96" s="42">
        <f t="shared" si="12"/>
        <v>47908</v>
      </c>
      <c r="X96" s="43">
        <f>W96+'Use Tax'!M95</f>
        <v>52300</v>
      </c>
      <c r="Y96" s="43"/>
      <c r="Z96" s="43"/>
      <c r="AA96" s="42" t="s">
        <v>18</v>
      </c>
    </row>
    <row r="97" spans="1:26" ht="12.75">
      <c r="A97" s="3" t="s">
        <v>8</v>
      </c>
      <c r="S97" s="34"/>
      <c r="T97" s="34">
        <v>4669</v>
      </c>
      <c r="U97" s="42">
        <v>50964</v>
      </c>
      <c r="V97" s="42">
        <f t="shared" si="13"/>
        <v>53368</v>
      </c>
      <c r="W97" s="42">
        <f t="shared" si="12"/>
        <v>56076</v>
      </c>
      <c r="X97" s="43">
        <f>W97+'Use Tax'!M96</f>
        <v>61298</v>
      </c>
      <c r="Y97" s="43"/>
      <c r="Z97" s="43"/>
    </row>
    <row r="98" spans="1:26" ht="12.75">
      <c r="A98" s="3" t="s">
        <v>9</v>
      </c>
      <c r="S98" s="34"/>
      <c r="T98" s="38">
        <v>48480</v>
      </c>
      <c r="U98" s="42">
        <v>51119</v>
      </c>
      <c r="V98" s="42">
        <f t="shared" si="13"/>
        <v>53771</v>
      </c>
      <c r="W98" s="42">
        <f t="shared" si="12"/>
        <v>55935</v>
      </c>
      <c r="X98" s="43">
        <f>W98+'Use Tax'!M97</f>
        <v>60430</v>
      </c>
      <c r="Y98" s="43"/>
      <c r="Z98" s="43"/>
    </row>
    <row r="99" spans="1:26" ht="12.75">
      <c r="A99" s="3" t="s">
        <v>10</v>
      </c>
      <c r="T99" s="30">
        <v>54532</v>
      </c>
      <c r="U99" s="42">
        <v>48417</v>
      </c>
      <c r="V99" s="42">
        <f t="shared" si="13"/>
        <v>54347</v>
      </c>
      <c r="W99" s="42">
        <f t="shared" si="12"/>
        <v>59097</v>
      </c>
      <c r="X99" s="43">
        <f>W99+'Use Tax'!M98</f>
        <v>62638</v>
      </c>
      <c r="Y99" s="43"/>
      <c r="Z99" s="43"/>
    </row>
    <row r="100" spans="1:26" ht="12.75">
      <c r="A100" s="3" t="s">
        <v>11</v>
      </c>
      <c r="T100" s="30">
        <v>47755</v>
      </c>
      <c r="U100" s="42">
        <v>52817</v>
      </c>
      <c r="V100" s="42">
        <f t="shared" si="13"/>
        <v>49525</v>
      </c>
      <c r="W100" s="42">
        <f t="shared" si="12"/>
        <v>62044</v>
      </c>
      <c r="X100" s="43">
        <f>W100+'Use Tax'!M99</f>
        <v>67132</v>
      </c>
      <c r="Y100" s="43"/>
      <c r="Z100" s="43"/>
    </row>
    <row r="101" spans="1:26" ht="12.75">
      <c r="A101" s="3" t="s">
        <v>12</v>
      </c>
      <c r="T101" s="30">
        <v>49105</v>
      </c>
      <c r="U101" s="43">
        <v>50663</v>
      </c>
      <c r="V101" s="42">
        <f t="shared" si="13"/>
        <v>51797</v>
      </c>
      <c r="W101" s="42">
        <f t="shared" si="12"/>
        <v>49233</v>
      </c>
      <c r="X101" s="43">
        <f>W101+'Use Tax'!M100</f>
        <v>54748</v>
      </c>
      <c r="Y101" s="43"/>
      <c r="Z101" s="43"/>
    </row>
    <row r="102" spans="1:26" ht="12.75">
      <c r="A102" s="3" t="s">
        <v>13</v>
      </c>
      <c r="T102" s="30">
        <v>55963</v>
      </c>
      <c r="U102" s="42">
        <v>56007</v>
      </c>
      <c r="V102" s="42">
        <f t="shared" si="13"/>
        <v>58311</v>
      </c>
      <c r="W102" s="42">
        <f t="shared" si="12"/>
        <v>61156</v>
      </c>
      <c r="X102" s="43">
        <f>W102+'Use Tax'!M101</f>
        <v>66059</v>
      </c>
      <c r="Y102" s="43"/>
      <c r="Z102" s="43"/>
    </row>
    <row r="103" spans="1:26" ht="12.75">
      <c r="A103" s="3" t="s">
        <v>14</v>
      </c>
      <c r="T103" s="30">
        <v>52334</v>
      </c>
      <c r="U103" s="42">
        <v>49353</v>
      </c>
      <c r="V103" s="42">
        <f t="shared" si="13"/>
        <v>55465</v>
      </c>
      <c r="W103" s="42">
        <f t="shared" si="12"/>
        <v>60407</v>
      </c>
      <c r="X103" s="43">
        <f>W103+'Use Tax'!M102</f>
        <v>65798</v>
      </c>
      <c r="Y103" s="43"/>
      <c r="Z103" s="43"/>
    </row>
    <row r="104" spans="1:26" ht="12.75">
      <c r="A104" s="3" t="s">
        <v>15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39">
        <v>54323</v>
      </c>
      <c r="U104" s="39">
        <v>53188</v>
      </c>
      <c r="V104" s="39">
        <f t="shared" si="13"/>
        <v>58130</v>
      </c>
      <c r="W104" s="42"/>
      <c r="X104" s="62" t="s">
        <v>18</v>
      </c>
      <c r="Y104" s="62"/>
      <c r="Z104" s="62"/>
    </row>
    <row r="105" spans="1:26" ht="13.5" thickBot="1">
      <c r="A105" s="10" t="s">
        <v>16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>
        <f>SUM(T97:T104)</f>
        <v>367161</v>
      </c>
      <c r="U105" s="19">
        <f>SUM(U93:U104)</f>
        <v>613981</v>
      </c>
      <c r="V105" s="19">
        <f>SUM(V93:V104)</f>
        <v>645868</v>
      </c>
      <c r="W105" s="19">
        <f>SUM(W93:W104)</f>
        <v>625168</v>
      </c>
      <c r="X105" s="42">
        <f>SUM(X93:X104)</f>
        <v>679832</v>
      </c>
      <c r="Y105" s="42"/>
      <c r="Z105" s="42"/>
    </row>
    <row r="106" ht="13.5" thickTop="1"/>
  </sheetData>
  <sheetProtection/>
  <printOptions horizontalCentered="1"/>
  <pageMargins left="0.17" right="0.18" top="1" bottom="1" header="0.5" footer="0.5"/>
  <pageSetup fitToHeight="1" fitToWidth="1" horizontalDpi="300" verticalDpi="300" orientation="landscape" scale="88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104"/>
  <sheetViews>
    <sheetView zoomScalePageLayoutView="0" workbookViewId="0" topLeftCell="A64">
      <selection activeCell="M101" sqref="M101:M102"/>
    </sheetView>
  </sheetViews>
  <sheetFormatPr defaultColWidth="9.140625" defaultRowHeight="12.75"/>
  <cols>
    <col min="1" max="1" width="11.28125" style="0" customWidth="1"/>
    <col min="9" max="10" width="9.7109375" style="0" customWidth="1"/>
    <col min="11" max="11" width="10.7109375" style="0" bestFit="1" customWidth="1"/>
    <col min="12" max="12" width="9.7109375" style="0" bestFit="1" customWidth="1"/>
    <col min="13" max="13" width="9.7109375" style="0" customWidth="1"/>
    <col min="14" max="14" width="12.8515625" style="0" bestFit="1" customWidth="1"/>
    <col min="15" max="15" width="10.140625" style="0" bestFit="1" customWidth="1"/>
    <col min="17" max="17" width="10.140625" style="0" bestFit="1" customWidth="1"/>
    <col min="18" max="18" width="11.7109375" style="0" bestFit="1" customWidth="1"/>
  </cols>
  <sheetData>
    <row r="2" ht="12.75">
      <c r="D2" t="s">
        <v>0</v>
      </c>
    </row>
    <row r="3" ht="12.75">
      <c r="D3" t="s">
        <v>23</v>
      </c>
    </row>
    <row r="4" ht="12.75">
      <c r="D4" t="s">
        <v>24</v>
      </c>
    </row>
    <row r="6" spans="2:14" ht="12.75">
      <c r="B6" s="25">
        <v>2001</v>
      </c>
      <c r="C6" s="25">
        <v>2002</v>
      </c>
      <c r="D6" s="25">
        <v>2003</v>
      </c>
      <c r="E6" s="25">
        <v>2004</v>
      </c>
      <c r="F6" s="25">
        <v>2005</v>
      </c>
      <c r="G6" s="25">
        <v>2006</v>
      </c>
      <c r="H6" s="25">
        <v>2007</v>
      </c>
      <c r="I6" s="25">
        <v>2008</v>
      </c>
      <c r="J6" s="25">
        <v>2009</v>
      </c>
      <c r="K6" s="25">
        <v>2010</v>
      </c>
      <c r="L6" s="25">
        <v>2011</v>
      </c>
      <c r="M6" s="25">
        <v>2012</v>
      </c>
      <c r="N6" s="61" t="s">
        <v>44</v>
      </c>
    </row>
    <row r="7" ht="15.75">
      <c r="A7" s="1" t="s">
        <v>3</v>
      </c>
    </row>
    <row r="8" spans="1:16" ht="12.75">
      <c r="A8" s="3" t="s">
        <v>4</v>
      </c>
      <c r="B8" s="30">
        <v>16899</v>
      </c>
      <c r="C8" s="30">
        <v>17969</v>
      </c>
      <c r="D8" s="30">
        <v>15068</v>
      </c>
      <c r="E8" s="30">
        <v>37739</v>
      </c>
      <c r="F8" s="30">
        <v>67231</v>
      </c>
      <c r="G8" s="30">
        <v>67081</v>
      </c>
      <c r="H8" s="30">
        <v>64117</v>
      </c>
      <c r="I8" s="30">
        <v>87489</v>
      </c>
      <c r="J8" s="30">
        <v>84825</v>
      </c>
      <c r="K8" s="30">
        <f>113797-K50-K71-K92</f>
        <v>73449</v>
      </c>
      <c r="L8" s="30">
        <f>129546.79-L50-L71-L92</f>
        <v>83579</v>
      </c>
      <c r="M8" s="30">
        <f>168518.12/1.55</f>
        <v>108721</v>
      </c>
      <c r="N8" s="42">
        <f>TREND(F8:L8,F$6:L$6,M$6)</f>
        <v>87180</v>
      </c>
      <c r="O8" s="43" t="s">
        <v>18</v>
      </c>
      <c r="P8" s="42"/>
    </row>
    <row r="9" spans="1:16" ht="12.75">
      <c r="A9" s="3" t="s">
        <v>5</v>
      </c>
      <c r="B9" s="30">
        <v>10657</v>
      </c>
      <c r="C9" s="30">
        <v>14598</v>
      </c>
      <c r="D9" s="30">
        <v>20230</v>
      </c>
      <c r="E9" s="30">
        <v>59641</v>
      </c>
      <c r="F9" s="30">
        <v>86946</v>
      </c>
      <c r="G9" s="30">
        <v>92958</v>
      </c>
      <c r="H9" s="30">
        <v>76406</v>
      </c>
      <c r="I9" s="30">
        <v>75853</v>
      </c>
      <c r="J9" s="30">
        <v>92730</v>
      </c>
      <c r="K9" s="42">
        <f>169176.22-K51-K72-K93</f>
        <v>109193</v>
      </c>
      <c r="L9" s="30">
        <f>160129.85-L51-L72-L93</f>
        <v>103310</v>
      </c>
      <c r="M9" s="30">
        <f>180250.9/1.55</f>
        <v>116291</v>
      </c>
      <c r="N9" s="42">
        <f aca="true" t="shared" si="0" ref="N9:N19">TREND(F9:L9,F$6:L$6,M$6)</f>
        <v>105040</v>
      </c>
      <c r="O9" s="42"/>
      <c r="P9" s="42"/>
    </row>
    <row r="10" spans="1:16" ht="12.75">
      <c r="A10" s="3" t="s">
        <v>6</v>
      </c>
      <c r="B10" s="30">
        <v>16684</v>
      </c>
      <c r="C10" s="30">
        <f>33967.04-C9</f>
        <v>19369</v>
      </c>
      <c r="D10" s="30">
        <v>14620</v>
      </c>
      <c r="E10" s="30">
        <v>89140</v>
      </c>
      <c r="F10" s="30">
        <v>60207</v>
      </c>
      <c r="G10" s="30">
        <v>66960</v>
      </c>
      <c r="H10" s="30">
        <v>71049</v>
      </c>
      <c r="I10" s="30">
        <v>80007</v>
      </c>
      <c r="J10" s="30">
        <v>79471</v>
      </c>
      <c r="K10" s="42">
        <f>134598.46-K52-K73-K94</f>
        <v>85859</v>
      </c>
      <c r="L10" s="30">
        <f>137354.72/1.55</f>
        <v>88616</v>
      </c>
      <c r="M10" s="30">
        <f>150856.15/1.55</f>
        <v>97327</v>
      </c>
      <c r="N10" s="42">
        <f t="shared" si="0"/>
        <v>94802</v>
      </c>
      <c r="O10" s="42"/>
      <c r="P10" s="42"/>
    </row>
    <row r="11" spans="1:16" ht="12.75">
      <c r="A11" s="3" t="s">
        <v>7</v>
      </c>
      <c r="B11" s="30">
        <v>13481</v>
      </c>
      <c r="C11" s="30">
        <v>16364</v>
      </c>
      <c r="D11" s="30">
        <v>14280</v>
      </c>
      <c r="E11" s="30">
        <v>47482</v>
      </c>
      <c r="F11" s="30">
        <v>59967</v>
      </c>
      <c r="G11" s="30">
        <v>66123</v>
      </c>
      <c r="H11" s="30">
        <v>72240</v>
      </c>
      <c r="I11" s="30">
        <v>66942</v>
      </c>
      <c r="J11" s="30">
        <v>72139</v>
      </c>
      <c r="K11" s="42">
        <f>113255-K53-K74-K95</f>
        <v>73162</v>
      </c>
      <c r="L11" s="30">
        <f>109797.97/1.55</f>
        <v>70837</v>
      </c>
      <c r="M11" s="30">
        <f>136147.2/1.55</f>
        <v>87837</v>
      </c>
      <c r="N11" s="42">
        <f t="shared" si="0"/>
        <v>75428</v>
      </c>
      <c r="O11" s="42"/>
      <c r="P11" s="42"/>
    </row>
    <row r="12" spans="1:16" ht="12.75">
      <c r="A12" s="3" t="s">
        <v>8</v>
      </c>
      <c r="B12" s="30">
        <f>30554.35-B11</f>
        <v>17073</v>
      </c>
      <c r="C12" s="30">
        <v>17114</v>
      </c>
      <c r="D12" s="30">
        <v>15698</v>
      </c>
      <c r="E12" s="30">
        <v>48125</v>
      </c>
      <c r="F12" s="30">
        <v>66530</v>
      </c>
      <c r="G12" s="30">
        <v>74677</v>
      </c>
      <c r="H12" s="30">
        <v>75381</v>
      </c>
      <c r="I12" s="30">
        <v>89817</v>
      </c>
      <c r="J12" s="30">
        <v>97065</v>
      </c>
      <c r="K12" s="42">
        <f>161979.32-K54-K75-K96</f>
        <v>104597</v>
      </c>
      <c r="L12" s="30">
        <f>160262.18/1.55</f>
        <v>103395</v>
      </c>
      <c r="M12" s="30">
        <f>161868.76/1.55</f>
        <v>104431</v>
      </c>
      <c r="N12" s="42">
        <f t="shared" si="0"/>
        <v>114797</v>
      </c>
      <c r="O12" s="42"/>
      <c r="P12" s="42"/>
    </row>
    <row r="13" spans="1:16" ht="12.75">
      <c r="A13" s="3" t="s">
        <v>9</v>
      </c>
      <c r="B13" s="30">
        <v>14235</v>
      </c>
      <c r="C13" s="30">
        <v>21076</v>
      </c>
      <c r="D13" s="30">
        <v>23245</v>
      </c>
      <c r="E13" s="30">
        <v>87173</v>
      </c>
      <c r="F13" s="30">
        <v>71251</v>
      </c>
      <c r="G13" s="30">
        <v>69484</v>
      </c>
      <c r="H13" s="30">
        <v>81300</v>
      </c>
      <c r="I13" s="30">
        <v>80671</v>
      </c>
      <c r="J13" s="30">
        <v>93467</v>
      </c>
      <c r="K13" s="42">
        <f>153076.58-K55-K76-K97</f>
        <v>98967</v>
      </c>
      <c r="L13" s="30">
        <f>148063.02/1.55</f>
        <v>95525</v>
      </c>
      <c r="M13" s="30">
        <f>139357.7/1.55</f>
        <v>89908</v>
      </c>
      <c r="N13" s="42">
        <f t="shared" si="0"/>
        <v>104946</v>
      </c>
      <c r="O13" s="42"/>
      <c r="P13" s="42"/>
    </row>
    <row r="14" spans="1:16" ht="12.75">
      <c r="A14" s="3" t="s">
        <v>10</v>
      </c>
      <c r="B14" s="30">
        <v>24620</v>
      </c>
      <c r="C14" s="30">
        <v>20775</v>
      </c>
      <c r="D14" s="30">
        <v>20235</v>
      </c>
      <c r="E14" s="30">
        <v>74425</v>
      </c>
      <c r="F14" s="30">
        <v>72907</v>
      </c>
      <c r="G14" s="30">
        <v>69364</v>
      </c>
      <c r="H14" s="30">
        <v>63601</v>
      </c>
      <c r="I14" s="30">
        <v>96683</v>
      </c>
      <c r="J14" s="30">
        <f>136686.15-J98-J77-J56</f>
        <v>88652</v>
      </c>
      <c r="K14" s="42">
        <f>98368.7-K56-K77-K98</f>
        <v>63549</v>
      </c>
      <c r="L14" s="30">
        <f>196957.7/1.55</f>
        <v>127069</v>
      </c>
      <c r="M14" s="30">
        <f>109769.18/1.55</f>
        <v>70819</v>
      </c>
      <c r="N14" s="42">
        <f t="shared" si="0"/>
        <v>108247</v>
      </c>
      <c r="O14" s="42"/>
      <c r="P14" s="42"/>
    </row>
    <row r="15" spans="1:16" ht="12.75">
      <c r="A15" s="3" t="s">
        <v>11</v>
      </c>
      <c r="B15" s="30">
        <v>21080</v>
      </c>
      <c r="C15" s="30">
        <v>22063</v>
      </c>
      <c r="D15" s="30">
        <v>19275</v>
      </c>
      <c r="E15" s="30">
        <v>84090</v>
      </c>
      <c r="F15" s="30">
        <v>77068</v>
      </c>
      <c r="G15" s="30">
        <v>94057</v>
      </c>
      <c r="H15" s="30">
        <v>82720</v>
      </c>
      <c r="I15" s="30">
        <v>95940</v>
      </c>
      <c r="J15" s="30">
        <f>145180-J57-J78-J99+1320</f>
        <v>94261</v>
      </c>
      <c r="K15" s="42">
        <f>149615.59-K57-K78-K99</f>
        <v>96522</v>
      </c>
      <c r="L15" s="30">
        <f>146540.66/1.55</f>
        <v>94542</v>
      </c>
      <c r="M15" s="30">
        <f>157737.08/1.55</f>
        <v>101766</v>
      </c>
      <c r="N15" s="42">
        <f t="shared" si="0"/>
        <v>100572</v>
      </c>
      <c r="O15" s="42"/>
      <c r="P15" s="42"/>
    </row>
    <row r="16" spans="1:16" ht="12.75">
      <c r="A16" s="3" t="s">
        <v>12</v>
      </c>
      <c r="B16" s="30">
        <v>22254</v>
      </c>
      <c r="C16" s="30">
        <v>19522</v>
      </c>
      <c r="D16" s="30">
        <v>16650</v>
      </c>
      <c r="E16" s="30">
        <v>60560</v>
      </c>
      <c r="F16" s="30">
        <v>68524</v>
      </c>
      <c r="G16" s="30">
        <v>72976</v>
      </c>
      <c r="H16" s="30">
        <v>74181</v>
      </c>
      <c r="I16" s="30">
        <v>78306</v>
      </c>
      <c r="J16" s="30">
        <f>138873.81-J58-J79-J100</f>
        <v>89661</v>
      </c>
      <c r="K16" s="42">
        <f>118827.02-K58-K79-K100</f>
        <v>76664</v>
      </c>
      <c r="L16" s="30">
        <f>134863.7/1.55</f>
        <v>87009</v>
      </c>
      <c r="M16" s="30">
        <f>170951.21/1.55</f>
        <v>110291</v>
      </c>
      <c r="N16" s="42">
        <f t="shared" si="0"/>
        <v>89376</v>
      </c>
      <c r="O16" s="42"/>
      <c r="P16" s="42"/>
    </row>
    <row r="17" spans="1:16" ht="12.75">
      <c r="A17" s="3" t="s">
        <v>13</v>
      </c>
      <c r="B17" s="30">
        <v>21893</v>
      </c>
      <c r="C17" s="30">
        <f>41948.04-C16</f>
        <v>22426</v>
      </c>
      <c r="D17" s="30">
        <v>84163</v>
      </c>
      <c r="E17" s="30">
        <v>97151</v>
      </c>
      <c r="F17" s="30">
        <v>75990</v>
      </c>
      <c r="G17" s="30">
        <v>86215</v>
      </c>
      <c r="H17" s="30">
        <v>84534</v>
      </c>
      <c r="I17" s="30">
        <v>91106</v>
      </c>
      <c r="J17" s="30">
        <f>120257.19-J59-J80-J101</f>
        <v>77769</v>
      </c>
      <c r="K17" s="42">
        <f>133211.58-K59-K80-K101</f>
        <v>86139</v>
      </c>
      <c r="L17" s="30">
        <f>151973.7/1.55</f>
        <v>98048</v>
      </c>
      <c r="M17" s="30">
        <f>152001.85/1.55</f>
        <v>98066</v>
      </c>
      <c r="N17" s="42">
        <f t="shared" si="0"/>
        <v>94151</v>
      </c>
      <c r="O17" s="42"/>
      <c r="P17" s="42"/>
    </row>
    <row r="18" spans="1:16" ht="12.75">
      <c r="A18" s="3" t="s">
        <v>14</v>
      </c>
      <c r="B18" s="30">
        <v>21738</v>
      </c>
      <c r="C18" s="30">
        <v>17824</v>
      </c>
      <c r="D18" s="30">
        <v>40270</v>
      </c>
      <c r="E18" s="30">
        <v>92399</v>
      </c>
      <c r="F18" s="30">
        <v>91371</v>
      </c>
      <c r="G18" s="30">
        <v>80081</v>
      </c>
      <c r="H18" s="30">
        <v>81739</v>
      </c>
      <c r="I18" s="30">
        <v>118004</v>
      </c>
      <c r="J18" s="30">
        <f>120257.19-J60-J81-J102</f>
        <v>73779</v>
      </c>
      <c r="K18" s="42">
        <f>151836.06-K60-K81-K102</f>
        <v>98281</v>
      </c>
      <c r="L18" s="30">
        <f>168707.95/1.55</f>
        <v>108844</v>
      </c>
      <c r="M18" s="30">
        <f>167123.98/1.55</f>
        <v>107822</v>
      </c>
      <c r="N18" s="42">
        <f t="shared" si="0"/>
        <v>104708</v>
      </c>
      <c r="O18" s="42"/>
      <c r="P18" s="42"/>
    </row>
    <row r="19" spans="1:18" ht="15">
      <c r="A19" s="3" t="s">
        <v>15</v>
      </c>
      <c r="B19" s="31">
        <v>19672</v>
      </c>
      <c r="C19" s="31">
        <v>25508</v>
      </c>
      <c r="D19" s="31">
        <v>151287</v>
      </c>
      <c r="E19" s="31">
        <v>80879</v>
      </c>
      <c r="F19" s="31">
        <v>84739</v>
      </c>
      <c r="G19" s="31">
        <v>74309</v>
      </c>
      <c r="H19" s="31">
        <v>81889</v>
      </c>
      <c r="I19" s="31">
        <v>105770</v>
      </c>
      <c r="J19" s="31">
        <f>142105.92-J61-J82-J103</f>
        <v>91759</v>
      </c>
      <c r="K19" s="51">
        <f>135263.99-K61-K82-K103</f>
        <v>88266</v>
      </c>
      <c r="L19" s="31">
        <f>146330.11/1.55</f>
        <v>94407</v>
      </c>
      <c r="M19" s="31"/>
      <c r="N19" s="42">
        <f t="shared" si="0"/>
        <v>98275</v>
      </c>
      <c r="O19" s="42"/>
      <c r="P19" s="42"/>
      <c r="R19" s="30">
        <f>L20+M8-L8+L41+M29-L29+L62+M50-L50+L83+M71-L71+L104+M92-L92</f>
        <v>2649334</v>
      </c>
    </row>
    <row r="20" spans="1:18" ht="13.5" thickBot="1">
      <c r="A20" s="10" t="s">
        <v>16</v>
      </c>
      <c r="B20" s="30">
        <f aca="true" t="shared" si="1" ref="B20:L20">SUM(B8:B19)</f>
        <v>220286</v>
      </c>
      <c r="C20" s="30">
        <f t="shared" si="1"/>
        <v>234608</v>
      </c>
      <c r="D20" s="30">
        <f t="shared" si="1"/>
        <v>435021</v>
      </c>
      <c r="E20" s="30">
        <f t="shared" si="1"/>
        <v>858804</v>
      </c>
      <c r="F20" s="30">
        <f t="shared" si="1"/>
        <v>882731</v>
      </c>
      <c r="G20" s="30">
        <f t="shared" si="1"/>
        <v>914285</v>
      </c>
      <c r="H20" s="30">
        <f t="shared" si="1"/>
        <v>909157</v>
      </c>
      <c r="I20" s="30">
        <f t="shared" si="1"/>
        <v>1066588</v>
      </c>
      <c r="J20" s="30">
        <f t="shared" si="1"/>
        <v>1035578</v>
      </c>
      <c r="K20" s="30">
        <f t="shared" si="1"/>
        <v>1054648</v>
      </c>
      <c r="L20" s="30">
        <f t="shared" si="1"/>
        <v>1155181</v>
      </c>
      <c r="M20" s="30"/>
      <c r="N20" s="42">
        <f>SUM(N8:N19)</f>
        <v>1177522</v>
      </c>
      <c r="O20" s="42"/>
      <c r="P20" s="42"/>
      <c r="Q20" s="42"/>
      <c r="R20" s="5">
        <f>R19+'CityCounty Sales Tax'!AC31</f>
        <v>30835169</v>
      </c>
    </row>
    <row r="21" ht="13.5" thickTop="1"/>
    <row r="23" ht="12.75">
      <c r="D23" t="s">
        <v>0</v>
      </c>
    </row>
    <row r="24" spans="4:18" ht="12.75">
      <c r="D24" t="s">
        <v>25</v>
      </c>
      <c r="R24" t="s">
        <v>39</v>
      </c>
    </row>
    <row r="25" spans="4:18" ht="12.75">
      <c r="D25" t="s">
        <v>24</v>
      </c>
      <c r="K25" s="30" t="s">
        <v>18</v>
      </c>
      <c r="R25" s="30">
        <f>(N20*1.55)+N41+'CityCounty Sales Tax'!Y42+('CityCounty Sales Tax'!Y19*1.55)</f>
        <v>31738897</v>
      </c>
    </row>
    <row r="26" spans="11:18" ht="12.75">
      <c r="K26" s="33" t="s">
        <v>18</v>
      </c>
      <c r="R26" s="30" t="s">
        <v>18</v>
      </c>
    </row>
    <row r="27" spans="2:18" ht="12.75">
      <c r="B27" s="25">
        <v>2001</v>
      </c>
      <c r="C27" s="25">
        <v>2002</v>
      </c>
      <c r="D27" s="25">
        <v>2003</v>
      </c>
      <c r="E27" s="25">
        <v>2004</v>
      </c>
      <c r="F27" s="25">
        <v>2005</v>
      </c>
      <c r="G27" s="25">
        <v>2006</v>
      </c>
      <c r="H27" s="25">
        <v>2007</v>
      </c>
      <c r="I27" s="25">
        <v>2008</v>
      </c>
      <c r="J27" s="25">
        <v>2009</v>
      </c>
      <c r="K27" s="25">
        <v>2010</v>
      </c>
      <c r="L27" s="25">
        <v>2011</v>
      </c>
      <c r="M27" s="25">
        <v>2012</v>
      </c>
      <c r="R27" s="30" t="s">
        <v>18</v>
      </c>
    </row>
    <row r="28" ht="15.75">
      <c r="A28" s="1" t="s">
        <v>3</v>
      </c>
    </row>
    <row r="29" spans="1:14" ht="12.75">
      <c r="A29" s="3" t="s">
        <v>4</v>
      </c>
      <c r="B29" s="30">
        <v>12717</v>
      </c>
      <c r="C29" s="30">
        <v>14541</v>
      </c>
      <c r="D29" s="30">
        <v>12591</v>
      </c>
      <c r="E29" s="30">
        <v>32258</v>
      </c>
      <c r="F29" s="30">
        <v>49270</v>
      </c>
      <c r="G29" s="30">
        <v>49300</v>
      </c>
      <c r="H29" s="30">
        <v>47411</v>
      </c>
      <c r="I29" s="30">
        <v>60730</v>
      </c>
      <c r="J29" s="30">
        <v>59403</v>
      </c>
      <c r="K29" s="30">
        <v>57202</v>
      </c>
      <c r="L29" s="30">
        <v>56960</v>
      </c>
      <c r="M29" s="30">
        <v>70896</v>
      </c>
      <c r="N29" s="28">
        <f>TREND(F29:L29,F$27:L$27,M$27)</f>
        <v>61592</v>
      </c>
    </row>
    <row r="30" spans="1:14" ht="12.75">
      <c r="A30" s="3" t="s">
        <v>5</v>
      </c>
      <c r="B30" s="30">
        <f>20052.72-B31</f>
        <v>6674</v>
      </c>
      <c r="C30" s="30">
        <v>11469</v>
      </c>
      <c r="D30" s="30">
        <v>15046</v>
      </c>
      <c r="E30" s="30">
        <v>44903</v>
      </c>
      <c r="F30" s="30">
        <v>65876</v>
      </c>
      <c r="G30" s="30">
        <v>66436</v>
      </c>
      <c r="H30" s="30">
        <v>53344</v>
      </c>
      <c r="I30" s="30">
        <v>53545</v>
      </c>
      <c r="J30" s="30">
        <v>64438</v>
      </c>
      <c r="K30" s="30">
        <v>78114</v>
      </c>
      <c r="L30" s="30">
        <v>73388</v>
      </c>
      <c r="M30" s="30">
        <v>80735</v>
      </c>
      <c r="N30" s="28">
        <f aca="true" t="shared" si="2" ref="N30:N40">TREND(F30:L30,F$27:L$27,M$27)</f>
        <v>73161</v>
      </c>
    </row>
    <row r="31" spans="1:14" ht="12.75">
      <c r="A31" s="3" t="s">
        <v>6</v>
      </c>
      <c r="B31" s="30">
        <v>13379</v>
      </c>
      <c r="C31" s="30">
        <f>26127.88-C30</f>
        <v>14659</v>
      </c>
      <c r="D31" s="30">
        <v>12449</v>
      </c>
      <c r="E31" s="30">
        <v>65038</v>
      </c>
      <c r="F31" s="30">
        <v>43336</v>
      </c>
      <c r="G31" s="30">
        <v>49532</v>
      </c>
      <c r="H31" s="30">
        <v>52214</v>
      </c>
      <c r="I31" s="30">
        <v>54770</v>
      </c>
      <c r="J31" s="30">
        <v>55946</v>
      </c>
      <c r="K31" s="30">
        <v>61020</v>
      </c>
      <c r="L31" s="30">
        <v>61008</v>
      </c>
      <c r="M31" s="30">
        <v>68189</v>
      </c>
      <c r="N31" s="28">
        <f t="shared" si="2"/>
        <v>65364</v>
      </c>
    </row>
    <row r="32" spans="1:14" ht="12.75">
      <c r="A32" s="3" t="s">
        <v>7</v>
      </c>
      <c r="B32" s="30">
        <v>10272</v>
      </c>
      <c r="C32" s="30">
        <v>12100</v>
      </c>
      <c r="D32" s="30">
        <v>10985</v>
      </c>
      <c r="E32" s="30">
        <v>36873</v>
      </c>
      <c r="F32" s="30">
        <v>45016</v>
      </c>
      <c r="G32" s="30">
        <v>47209</v>
      </c>
      <c r="H32" s="30">
        <v>49582</v>
      </c>
      <c r="I32" s="30">
        <v>47486</v>
      </c>
      <c r="J32" s="30">
        <v>50990</v>
      </c>
      <c r="K32" s="30">
        <v>48808</v>
      </c>
      <c r="L32" s="30">
        <v>47728</v>
      </c>
      <c r="M32" s="30">
        <v>59172</v>
      </c>
      <c r="N32" s="28">
        <f t="shared" si="2"/>
        <v>49937</v>
      </c>
    </row>
    <row r="33" spans="1:14" ht="12.75">
      <c r="A33" s="3" t="s">
        <v>8</v>
      </c>
      <c r="B33" s="30">
        <f>23518.05-B32</f>
        <v>13246</v>
      </c>
      <c r="C33" s="30">
        <v>12935</v>
      </c>
      <c r="D33" s="30">
        <v>13013</v>
      </c>
      <c r="E33" s="30">
        <v>37433</v>
      </c>
      <c r="F33" s="30">
        <v>49340</v>
      </c>
      <c r="G33" s="30">
        <v>55107</v>
      </c>
      <c r="H33" s="30">
        <v>54005</v>
      </c>
      <c r="I33" s="30">
        <v>62569</v>
      </c>
      <c r="J33" s="30">
        <v>66629</v>
      </c>
      <c r="K33" s="30">
        <v>71296</v>
      </c>
      <c r="L33" s="30">
        <v>77894</v>
      </c>
      <c r="M33" s="30">
        <v>71677</v>
      </c>
      <c r="N33" s="28">
        <f t="shared" si="2"/>
        <v>81072</v>
      </c>
    </row>
    <row r="34" spans="1:14" ht="12.75">
      <c r="A34" s="3" t="s">
        <v>9</v>
      </c>
      <c r="B34" s="30">
        <v>11022</v>
      </c>
      <c r="C34" s="30">
        <v>16248</v>
      </c>
      <c r="D34" s="30">
        <v>16372</v>
      </c>
      <c r="E34" s="30">
        <v>63651</v>
      </c>
      <c r="F34" s="30">
        <v>54797</v>
      </c>
      <c r="G34" s="30">
        <v>51093</v>
      </c>
      <c r="H34" s="30">
        <v>57703</v>
      </c>
      <c r="I34" s="30">
        <v>59182</v>
      </c>
      <c r="J34" s="30">
        <v>66263</v>
      </c>
      <c r="K34" s="30">
        <v>68875</v>
      </c>
      <c r="L34" s="30">
        <v>66634</v>
      </c>
      <c r="M34" s="30">
        <v>62953</v>
      </c>
      <c r="N34" s="28">
        <f t="shared" si="2"/>
        <v>72026</v>
      </c>
    </row>
    <row r="35" spans="1:14" ht="12.75">
      <c r="A35" s="3" t="s">
        <v>10</v>
      </c>
      <c r="B35" s="30">
        <v>19302</v>
      </c>
      <c r="C35" s="30">
        <v>15803</v>
      </c>
      <c r="D35" s="30">
        <v>16367</v>
      </c>
      <c r="E35" s="30">
        <v>53707</v>
      </c>
      <c r="F35" s="30">
        <v>55808</v>
      </c>
      <c r="G35" s="30">
        <v>51612</v>
      </c>
      <c r="H35" s="30">
        <v>45062</v>
      </c>
      <c r="I35" s="30">
        <v>66510</v>
      </c>
      <c r="J35" s="30">
        <v>60565</v>
      </c>
      <c r="K35" s="30">
        <v>46577</v>
      </c>
      <c r="L35" s="30">
        <v>83432</v>
      </c>
      <c r="M35" s="30">
        <v>46850</v>
      </c>
      <c r="N35" s="28">
        <f t="shared" si="2"/>
        <v>71124</v>
      </c>
    </row>
    <row r="36" spans="1:14" ht="12.75">
      <c r="A36" s="3" t="s">
        <v>11</v>
      </c>
      <c r="B36" s="30">
        <v>16336</v>
      </c>
      <c r="C36" s="30">
        <v>17342</v>
      </c>
      <c r="D36" s="30">
        <v>15859</v>
      </c>
      <c r="E36" s="30">
        <v>62215</v>
      </c>
      <c r="F36" s="30">
        <v>56519</v>
      </c>
      <c r="G36" s="30">
        <v>66502</v>
      </c>
      <c r="H36" s="30">
        <v>60061</v>
      </c>
      <c r="I36" s="30">
        <v>67966</v>
      </c>
      <c r="J36" s="30">
        <v>65067</v>
      </c>
      <c r="K36" s="30">
        <v>66235</v>
      </c>
      <c r="L36" s="30">
        <v>67060</v>
      </c>
      <c r="M36" s="30">
        <v>67080</v>
      </c>
      <c r="N36" s="28">
        <f t="shared" si="2"/>
        <v>69358</v>
      </c>
    </row>
    <row r="37" spans="1:14" ht="12.75">
      <c r="A37" s="3" t="s">
        <v>12</v>
      </c>
      <c r="B37" s="30">
        <v>16868</v>
      </c>
      <c r="C37" s="30">
        <v>15588</v>
      </c>
      <c r="D37" s="30">
        <v>11838</v>
      </c>
      <c r="E37" s="30">
        <v>45707</v>
      </c>
      <c r="F37" s="30">
        <v>51719</v>
      </c>
      <c r="G37" s="30">
        <v>51334</v>
      </c>
      <c r="H37" s="30">
        <v>52561</v>
      </c>
      <c r="I37" s="30">
        <v>56699</v>
      </c>
      <c r="J37" s="30">
        <v>65500</v>
      </c>
      <c r="K37" s="30">
        <v>53198</v>
      </c>
      <c r="L37" s="30">
        <v>62775</v>
      </c>
      <c r="M37" s="30">
        <v>83826</v>
      </c>
      <c r="N37" s="28">
        <f t="shared" si="2"/>
        <v>63374</v>
      </c>
    </row>
    <row r="38" spans="1:14" ht="12.75">
      <c r="A38" s="3" t="s">
        <v>13</v>
      </c>
      <c r="B38" s="30">
        <v>16061</v>
      </c>
      <c r="C38" s="30">
        <v>18286</v>
      </c>
      <c r="D38" s="30">
        <v>58463</v>
      </c>
      <c r="E38" s="30">
        <v>69497</v>
      </c>
      <c r="F38" s="30">
        <v>55502</v>
      </c>
      <c r="G38" s="30">
        <v>62956</v>
      </c>
      <c r="H38" s="30">
        <v>61280</v>
      </c>
      <c r="I38" s="30">
        <v>64306</v>
      </c>
      <c r="J38" s="30">
        <v>54971</v>
      </c>
      <c r="K38" s="30">
        <v>60614</v>
      </c>
      <c r="L38" s="30">
        <v>69944</v>
      </c>
      <c r="M38" s="30">
        <v>71543</v>
      </c>
      <c r="N38" s="28">
        <f t="shared" si="2"/>
        <v>65987</v>
      </c>
    </row>
    <row r="39" spans="1:14" ht="12.75">
      <c r="A39" s="3" t="s">
        <v>14</v>
      </c>
      <c r="B39" s="30">
        <v>15943</v>
      </c>
      <c r="C39" s="30">
        <v>13779</v>
      </c>
      <c r="D39" s="30">
        <v>28215</v>
      </c>
      <c r="E39" s="30">
        <v>69508</v>
      </c>
      <c r="F39" s="30">
        <v>64254</v>
      </c>
      <c r="G39" s="30">
        <v>55823</v>
      </c>
      <c r="H39" s="30">
        <v>56058</v>
      </c>
      <c r="I39" s="30">
        <v>82393</v>
      </c>
      <c r="J39" s="30">
        <v>60993</v>
      </c>
      <c r="K39" s="30">
        <v>74863</v>
      </c>
      <c r="L39" s="30">
        <v>73892</v>
      </c>
      <c r="M39" s="30">
        <v>73829</v>
      </c>
      <c r="N39" s="28">
        <f t="shared" si="2"/>
        <v>77172</v>
      </c>
    </row>
    <row r="40" spans="1:14" ht="15">
      <c r="A40" s="3" t="s">
        <v>15</v>
      </c>
      <c r="B40" s="31">
        <v>15467</v>
      </c>
      <c r="C40" s="31">
        <v>19708</v>
      </c>
      <c r="D40" s="31">
        <v>103856</v>
      </c>
      <c r="E40" s="31">
        <v>57974</v>
      </c>
      <c r="F40" s="31">
        <v>49300</v>
      </c>
      <c r="G40" s="31">
        <v>52751</v>
      </c>
      <c r="H40" s="31">
        <v>59676</v>
      </c>
      <c r="I40" s="31">
        <v>73269</v>
      </c>
      <c r="J40" s="31">
        <v>63794</v>
      </c>
      <c r="K40" s="40">
        <v>61336</v>
      </c>
      <c r="L40" s="31">
        <v>65183</v>
      </c>
      <c r="M40" s="31"/>
      <c r="N40" s="28">
        <f t="shared" si="2"/>
        <v>70607</v>
      </c>
    </row>
    <row r="41" spans="1:14" ht="13.5" thickBot="1">
      <c r="A41" s="10" t="s">
        <v>16</v>
      </c>
      <c r="B41" s="30">
        <f aca="true" t="shared" si="3" ref="B41:J41">SUM(B29:B40)</f>
        <v>167287</v>
      </c>
      <c r="C41" s="30">
        <f t="shared" si="3"/>
        <v>182458</v>
      </c>
      <c r="D41" s="30">
        <f t="shared" si="3"/>
        <v>315054</v>
      </c>
      <c r="E41" s="30">
        <f t="shared" si="3"/>
        <v>638764</v>
      </c>
      <c r="F41" s="30">
        <f t="shared" si="3"/>
        <v>640737</v>
      </c>
      <c r="G41" s="30">
        <f t="shared" si="3"/>
        <v>659655</v>
      </c>
      <c r="H41" s="30">
        <f t="shared" si="3"/>
        <v>648957</v>
      </c>
      <c r="I41" s="30">
        <f t="shared" si="3"/>
        <v>749425</v>
      </c>
      <c r="J41" s="30">
        <f t="shared" si="3"/>
        <v>734559</v>
      </c>
      <c r="K41" s="30">
        <f>SUM(K29:K40)</f>
        <v>748138</v>
      </c>
      <c r="L41" s="30">
        <f>SUM(L29:L40)</f>
        <v>805898</v>
      </c>
      <c r="M41" s="30"/>
      <c r="N41" s="29">
        <f>SUM(N29:N40)</f>
        <v>820774</v>
      </c>
    </row>
    <row r="42" ht="13.5" thickTop="1"/>
    <row r="43" spans="9:10" ht="12.75">
      <c r="I43" s="30" t="s">
        <v>18</v>
      </c>
      <c r="J43" s="30"/>
    </row>
    <row r="44" ht="12.75">
      <c r="D44" t="s">
        <v>0</v>
      </c>
    </row>
    <row r="45" ht="12.75">
      <c r="D45" s="37" t="s">
        <v>31</v>
      </c>
    </row>
    <row r="46" ht="12.75">
      <c r="D46" t="s">
        <v>24</v>
      </c>
    </row>
    <row r="48" spans="2:13" ht="12.75">
      <c r="B48" s="25">
        <v>2001</v>
      </c>
      <c r="C48" s="25">
        <v>2002</v>
      </c>
      <c r="D48" s="25">
        <v>2003</v>
      </c>
      <c r="E48" s="25">
        <v>2004</v>
      </c>
      <c r="F48" s="25">
        <v>2005</v>
      </c>
      <c r="G48" s="25">
        <v>2006</v>
      </c>
      <c r="H48" s="25">
        <v>2007</v>
      </c>
      <c r="I48" s="25">
        <v>2008</v>
      </c>
      <c r="J48" s="25">
        <v>2009</v>
      </c>
      <c r="K48" s="25">
        <v>2010</v>
      </c>
      <c r="L48" s="25">
        <v>2011</v>
      </c>
      <c r="M48" s="25">
        <v>2012</v>
      </c>
    </row>
    <row r="49" ht="15.75">
      <c r="A49" s="1" t="s">
        <v>3</v>
      </c>
    </row>
    <row r="50" spans="1:14" ht="12.75">
      <c r="A50" s="3" t="s">
        <v>4</v>
      </c>
      <c r="J50" s="30"/>
      <c r="K50" s="42">
        <v>22008</v>
      </c>
      <c r="L50" s="42">
        <v>25073.57</v>
      </c>
      <c r="M50" s="42">
        <f aca="true" t="shared" si="4" ref="M50:M60">M8*0.3</f>
        <v>32616</v>
      </c>
      <c r="N50" s="37" t="s">
        <v>18</v>
      </c>
    </row>
    <row r="51" spans="1:13" ht="12.75">
      <c r="A51" s="3" t="s">
        <v>5</v>
      </c>
      <c r="J51" s="30"/>
      <c r="K51" s="42">
        <v>32718</v>
      </c>
      <c r="L51" s="42">
        <v>30993</v>
      </c>
      <c r="M51" s="42">
        <f t="shared" si="4"/>
        <v>34887</v>
      </c>
    </row>
    <row r="52" spans="1:13" ht="12.75">
      <c r="A52" s="3" t="s">
        <v>6</v>
      </c>
      <c r="J52" s="30"/>
      <c r="K52" s="42">
        <v>26585</v>
      </c>
      <c r="L52" s="42">
        <f aca="true" t="shared" si="5" ref="L52:L61">L10*0.3</f>
        <v>26585</v>
      </c>
      <c r="M52" s="42">
        <f t="shared" si="4"/>
        <v>29198</v>
      </c>
    </row>
    <row r="53" spans="1:13" ht="12.75">
      <c r="A53" s="3" t="s">
        <v>7</v>
      </c>
      <c r="J53" s="30"/>
      <c r="K53" s="42">
        <v>21869</v>
      </c>
      <c r="L53" s="42">
        <f t="shared" si="5"/>
        <v>21251</v>
      </c>
      <c r="M53" s="42">
        <f t="shared" si="4"/>
        <v>26351</v>
      </c>
    </row>
    <row r="54" spans="1:13" ht="12.75">
      <c r="A54" s="3" t="s">
        <v>8</v>
      </c>
      <c r="J54" s="30">
        <v>2251</v>
      </c>
      <c r="K54" s="42">
        <v>31299</v>
      </c>
      <c r="L54" s="42">
        <f t="shared" si="5"/>
        <v>31019</v>
      </c>
      <c r="M54" s="42">
        <f t="shared" si="4"/>
        <v>31329</v>
      </c>
    </row>
    <row r="55" spans="1:13" ht="12.75">
      <c r="A55" s="3" t="s">
        <v>9</v>
      </c>
      <c r="J55" s="30">
        <v>26391</v>
      </c>
      <c r="K55" s="42">
        <v>29515</v>
      </c>
      <c r="L55" s="42">
        <f t="shared" si="5"/>
        <v>28658</v>
      </c>
      <c r="M55" s="42">
        <f t="shared" si="4"/>
        <v>26972</v>
      </c>
    </row>
    <row r="56" spans="1:13" ht="12.75">
      <c r="A56" s="3" t="s">
        <v>10</v>
      </c>
      <c r="J56" s="30">
        <v>26200</v>
      </c>
      <c r="K56" s="42">
        <v>18993</v>
      </c>
      <c r="L56" s="42">
        <f t="shared" si="5"/>
        <v>38121</v>
      </c>
      <c r="M56" s="42">
        <f t="shared" si="4"/>
        <v>21246</v>
      </c>
    </row>
    <row r="57" spans="1:13" ht="12.75">
      <c r="A57" s="3" t="s">
        <v>11</v>
      </c>
      <c r="J57" s="30">
        <v>28494</v>
      </c>
      <c r="K57" s="42">
        <v>28960</v>
      </c>
      <c r="L57" s="42">
        <f t="shared" si="5"/>
        <v>28363</v>
      </c>
      <c r="M57" s="42">
        <f t="shared" si="4"/>
        <v>30530</v>
      </c>
    </row>
    <row r="58" spans="1:13" ht="12.75">
      <c r="A58" s="3" t="s">
        <v>12</v>
      </c>
      <c r="J58" s="30">
        <v>26843</v>
      </c>
      <c r="K58" s="42">
        <v>22998</v>
      </c>
      <c r="L58" s="42">
        <f t="shared" si="5"/>
        <v>26103</v>
      </c>
      <c r="M58" s="42">
        <f t="shared" si="4"/>
        <v>33087</v>
      </c>
    </row>
    <row r="59" spans="1:13" ht="12.75">
      <c r="A59" s="3" t="s">
        <v>13</v>
      </c>
      <c r="J59" s="30">
        <v>23175</v>
      </c>
      <c r="K59" s="42">
        <v>25676</v>
      </c>
      <c r="L59" s="42">
        <f t="shared" si="5"/>
        <v>29414</v>
      </c>
      <c r="M59" s="42">
        <f t="shared" si="4"/>
        <v>29420</v>
      </c>
    </row>
    <row r="60" spans="1:13" ht="12.75">
      <c r="A60" s="3" t="s">
        <v>14</v>
      </c>
      <c r="J60" s="30">
        <v>25352</v>
      </c>
      <c r="K60" s="42">
        <v>29212</v>
      </c>
      <c r="L60" s="42">
        <f t="shared" si="5"/>
        <v>32653</v>
      </c>
      <c r="M60" s="42">
        <f t="shared" si="4"/>
        <v>32347</v>
      </c>
    </row>
    <row r="61" spans="1:13" ht="15">
      <c r="A61" s="3" t="s">
        <v>15</v>
      </c>
      <c r="J61" s="40">
        <v>27462</v>
      </c>
      <c r="K61" s="51">
        <v>25635</v>
      </c>
      <c r="L61" s="62">
        <f t="shared" si="5"/>
        <v>28322</v>
      </c>
      <c r="M61" s="62"/>
    </row>
    <row r="62" spans="1:13" ht="13.5" thickBot="1">
      <c r="A62" s="10" t="s">
        <v>16</v>
      </c>
      <c r="J62" s="30">
        <f>SUM(J54:J61)</f>
        <v>186168</v>
      </c>
      <c r="K62" s="42">
        <f>SUM(K50:K61)</f>
        <v>315468</v>
      </c>
      <c r="L62" s="42">
        <f>SUM(L50:L61)</f>
        <v>346556</v>
      </c>
      <c r="M62" s="42"/>
    </row>
    <row r="63" ht="13.5" thickTop="1">
      <c r="K63" s="42"/>
    </row>
    <row r="64" ht="12.75">
      <c r="K64" s="42"/>
    </row>
    <row r="65" spans="4:11" ht="12.75">
      <c r="D65" t="s">
        <v>0</v>
      </c>
      <c r="K65" s="42"/>
    </row>
    <row r="66" spans="4:11" ht="12.75">
      <c r="D66" s="37" t="s">
        <v>32</v>
      </c>
      <c r="K66" s="42"/>
    </row>
    <row r="67" spans="4:11" ht="12.75">
      <c r="D67" t="s">
        <v>24</v>
      </c>
      <c r="K67" s="42"/>
    </row>
    <row r="68" ht="12.75">
      <c r="K68" s="42"/>
    </row>
    <row r="69" spans="2:13" ht="12.75">
      <c r="B69" s="25">
        <v>2001</v>
      </c>
      <c r="C69" s="25">
        <v>2002</v>
      </c>
      <c r="D69" s="25">
        <v>2003</v>
      </c>
      <c r="E69" s="25">
        <v>2004</v>
      </c>
      <c r="F69" s="25">
        <v>2005</v>
      </c>
      <c r="G69" s="25">
        <v>2006</v>
      </c>
      <c r="H69" s="25">
        <v>2007</v>
      </c>
      <c r="I69" s="25">
        <v>2008</v>
      </c>
      <c r="J69" s="25">
        <v>2009</v>
      </c>
      <c r="K69" s="25">
        <v>2010</v>
      </c>
      <c r="L69" s="25">
        <v>2011</v>
      </c>
      <c r="M69" s="25">
        <v>2012</v>
      </c>
    </row>
    <row r="70" spans="1:11" ht="15.75">
      <c r="A70" s="1" t="s">
        <v>3</v>
      </c>
      <c r="K70" s="42"/>
    </row>
    <row r="71" spans="1:13" ht="12.75">
      <c r="A71" s="3" t="s">
        <v>4</v>
      </c>
      <c r="J71" s="30"/>
      <c r="K71" s="42">
        <v>14672</v>
      </c>
      <c r="L71" s="42">
        <v>16715.71</v>
      </c>
      <c r="M71" s="42">
        <f aca="true" t="shared" si="6" ref="M71:M81">M8*0.2</f>
        <v>21744</v>
      </c>
    </row>
    <row r="72" spans="1:13" ht="12.75">
      <c r="A72" s="3" t="s">
        <v>5</v>
      </c>
      <c r="J72" s="30"/>
      <c r="K72" s="42">
        <v>21812</v>
      </c>
      <c r="L72" s="42">
        <v>20662</v>
      </c>
      <c r="M72" s="42">
        <f t="shared" si="6"/>
        <v>23258</v>
      </c>
    </row>
    <row r="73" spans="1:13" ht="12.75">
      <c r="A73" s="3" t="s">
        <v>6</v>
      </c>
      <c r="J73" s="30"/>
      <c r="K73" s="42">
        <v>17723</v>
      </c>
      <c r="L73" s="42">
        <f aca="true" t="shared" si="7" ref="L73:L82">L10*0.2</f>
        <v>17723</v>
      </c>
      <c r="M73" s="42">
        <f t="shared" si="6"/>
        <v>19465</v>
      </c>
    </row>
    <row r="74" spans="1:13" ht="12.75">
      <c r="A74" s="3" t="s">
        <v>7</v>
      </c>
      <c r="J74" s="30"/>
      <c r="K74" s="42">
        <v>14579</v>
      </c>
      <c r="L74" s="42">
        <f t="shared" si="7"/>
        <v>14167</v>
      </c>
      <c r="M74" s="42">
        <f t="shared" si="6"/>
        <v>17567</v>
      </c>
    </row>
    <row r="75" spans="1:13" ht="12.75">
      <c r="A75" s="3" t="s">
        <v>8</v>
      </c>
      <c r="J75" s="30">
        <v>1501</v>
      </c>
      <c r="K75" s="42">
        <v>20866</v>
      </c>
      <c r="L75" s="42">
        <f t="shared" si="7"/>
        <v>20679</v>
      </c>
      <c r="M75" s="42">
        <f t="shared" si="6"/>
        <v>20886</v>
      </c>
    </row>
    <row r="76" spans="1:13" ht="12.75">
      <c r="A76" s="3" t="s">
        <v>9</v>
      </c>
      <c r="J76" s="30">
        <v>17594</v>
      </c>
      <c r="K76" s="42">
        <v>19676</v>
      </c>
      <c r="L76" s="42">
        <f t="shared" si="7"/>
        <v>19105</v>
      </c>
      <c r="M76" s="42">
        <f t="shared" si="6"/>
        <v>17982</v>
      </c>
    </row>
    <row r="77" spans="1:13" ht="12.75">
      <c r="A77" s="3" t="s">
        <v>10</v>
      </c>
      <c r="J77" s="30">
        <v>17467</v>
      </c>
      <c r="K77" s="42">
        <v>12662</v>
      </c>
      <c r="L77" s="42">
        <f t="shared" si="7"/>
        <v>25414</v>
      </c>
      <c r="M77" s="42">
        <f t="shared" si="6"/>
        <v>14164</v>
      </c>
    </row>
    <row r="78" spans="1:13" ht="12.75">
      <c r="A78" s="3" t="s">
        <v>11</v>
      </c>
      <c r="J78" s="30">
        <v>18996</v>
      </c>
      <c r="K78" s="42">
        <v>19307</v>
      </c>
      <c r="L78" s="42">
        <f t="shared" si="7"/>
        <v>18908</v>
      </c>
      <c r="M78" s="42">
        <f t="shared" si="6"/>
        <v>20353</v>
      </c>
    </row>
    <row r="79" spans="1:13" ht="12.75">
      <c r="A79" s="3" t="s">
        <v>12</v>
      </c>
      <c r="J79" s="30">
        <v>17896</v>
      </c>
      <c r="K79" s="42">
        <v>15332</v>
      </c>
      <c r="L79" s="42">
        <f t="shared" si="7"/>
        <v>17402</v>
      </c>
      <c r="M79" s="42">
        <f t="shared" si="6"/>
        <v>22058</v>
      </c>
    </row>
    <row r="80" spans="1:13" ht="12.75">
      <c r="A80" s="3" t="s">
        <v>13</v>
      </c>
      <c r="J80" s="30">
        <v>15450</v>
      </c>
      <c r="K80" s="42">
        <v>17118</v>
      </c>
      <c r="L80" s="42">
        <f t="shared" si="7"/>
        <v>19610</v>
      </c>
      <c r="M80" s="42">
        <f t="shared" si="6"/>
        <v>19613</v>
      </c>
    </row>
    <row r="81" spans="1:13" ht="12.75">
      <c r="A81" s="3" t="s">
        <v>14</v>
      </c>
      <c r="J81" s="30">
        <v>16901</v>
      </c>
      <c r="K81" s="42">
        <v>19474</v>
      </c>
      <c r="L81" s="42">
        <f t="shared" si="7"/>
        <v>21769</v>
      </c>
      <c r="M81" s="42">
        <f t="shared" si="6"/>
        <v>21564</v>
      </c>
    </row>
    <row r="82" spans="1:13" ht="15">
      <c r="A82" s="3" t="s">
        <v>15</v>
      </c>
      <c r="J82" s="40">
        <v>18308</v>
      </c>
      <c r="K82" s="51">
        <v>17090</v>
      </c>
      <c r="L82" s="62">
        <f t="shared" si="7"/>
        <v>18881</v>
      </c>
      <c r="M82" s="62"/>
    </row>
    <row r="83" spans="1:13" ht="13.5" thickBot="1">
      <c r="A83" s="10" t="s">
        <v>16</v>
      </c>
      <c r="J83" s="30">
        <f>SUM(J75:J82)</f>
        <v>124113</v>
      </c>
      <c r="K83" s="42">
        <f>SUM(K71:K82)</f>
        <v>210311</v>
      </c>
      <c r="L83" s="42">
        <f>SUM(L71:L82)</f>
        <v>231036</v>
      </c>
      <c r="M83" s="42"/>
    </row>
    <row r="84" ht="13.5" thickTop="1">
      <c r="K84" s="42"/>
    </row>
    <row r="85" ht="12.75">
      <c r="K85" s="42"/>
    </row>
    <row r="86" spans="4:11" ht="12.75">
      <c r="D86" t="s">
        <v>0</v>
      </c>
      <c r="K86" s="42"/>
    </row>
    <row r="87" spans="4:11" ht="12.75">
      <c r="D87" s="37" t="s">
        <v>33</v>
      </c>
      <c r="K87" s="42"/>
    </row>
    <row r="88" spans="4:11" ht="12.75">
      <c r="D88" t="s">
        <v>24</v>
      </c>
      <c r="K88" s="42"/>
    </row>
    <row r="89" ht="12.75">
      <c r="K89" s="42"/>
    </row>
    <row r="90" spans="2:13" ht="12.75">
      <c r="B90" s="25">
        <v>2001</v>
      </c>
      <c r="C90" s="25">
        <v>2002</v>
      </c>
      <c r="D90" s="25">
        <v>2003</v>
      </c>
      <c r="E90" s="25">
        <v>2004</v>
      </c>
      <c r="F90" s="25">
        <v>2005</v>
      </c>
      <c r="G90" s="25">
        <v>2006</v>
      </c>
      <c r="H90" s="25">
        <v>2007</v>
      </c>
      <c r="I90" s="25">
        <v>2008</v>
      </c>
      <c r="J90" s="25">
        <v>2009</v>
      </c>
      <c r="K90" s="25">
        <v>2010</v>
      </c>
      <c r="L90" s="25">
        <v>2011</v>
      </c>
      <c r="M90" s="25">
        <v>2012</v>
      </c>
    </row>
    <row r="91" spans="1:11" ht="15.75">
      <c r="A91" s="1" t="s">
        <v>3</v>
      </c>
      <c r="K91" s="42"/>
    </row>
    <row r="92" spans="1:13" ht="12.75">
      <c r="A92" s="3" t="s">
        <v>4</v>
      </c>
      <c r="K92" s="42">
        <v>3668</v>
      </c>
      <c r="L92" s="42">
        <v>4179</v>
      </c>
      <c r="M92" s="42">
        <f aca="true" t="shared" si="8" ref="M92:M102">M8*0.05</f>
        <v>5436</v>
      </c>
    </row>
    <row r="93" spans="1:13" ht="12.75">
      <c r="A93" s="3" t="s">
        <v>5</v>
      </c>
      <c r="K93" s="42">
        <v>5453</v>
      </c>
      <c r="L93" s="42">
        <v>5165</v>
      </c>
      <c r="M93" s="42">
        <f t="shared" si="8"/>
        <v>5815</v>
      </c>
    </row>
    <row r="94" spans="1:13" ht="12.75">
      <c r="A94" s="3" t="s">
        <v>6</v>
      </c>
      <c r="K94" s="42">
        <v>4431</v>
      </c>
      <c r="L94" s="42">
        <f aca="true" t="shared" si="9" ref="L94:L103">L10*0.05</f>
        <v>4431</v>
      </c>
      <c r="M94" s="42">
        <f t="shared" si="8"/>
        <v>4866</v>
      </c>
    </row>
    <row r="95" spans="1:13" ht="12.75">
      <c r="A95" s="3" t="s">
        <v>7</v>
      </c>
      <c r="K95" s="42">
        <v>3645</v>
      </c>
      <c r="L95" s="42">
        <f t="shared" si="9"/>
        <v>3542</v>
      </c>
      <c r="M95" s="42">
        <f t="shared" si="8"/>
        <v>4392</v>
      </c>
    </row>
    <row r="96" spans="1:13" ht="12.75">
      <c r="A96" s="3" t="s">
        <v>8</v>
      </c>
      <c r="J96" s="30">
        <v>375</v>
      </c>
      <c r="K96" s="42">
        <v>5217</v>
      </c>
      <c r="L96" s="42">
        <f t="shared" si="9"/>
        <v>5170</v>
      </c>
      <c r="M96" s="42">
        <f t="shared" si="8"/>
        <v>5222</v>
      </c>
    </row>
    <row r="97" spans="1:13" ht="12.75">
      <c r="A97" s="3" t="s">
        <v>9</v>
      </c>
      <c r="J97" s="30">
        <v>4398</v>
      </c>
      <c r="K97" s="42">
        <v>4919</v>
      </c>
      <c r="L97" s="42">
        <f t="shared" si="9"/>
        <v>4776</v>
      </c>
      <c r="M97" s="42">
        <f t="shared" si="8"/>
        <v>4495</v>
      </c>
    </row>
    <row r="98" spans="1:13" ht="12.75">
      <c r="A98" s="3" t="s">
        <v>10</v>
      </c>
      <c r="J98" s="30">
        <v>4367</v>
      </c>
      <c r="K98" s="42">
        <v>3165</v>
      </c>
      <c r="L98" s="42">
        <f t="shared" si="9"/>
        <v>6353</v>
      </c>
      <c r="M98" s="42">
        <f t="shared" si="8"/>
        <v>3541</v>
      </c>
    </row>
    <row r="99" spans="1:13" ht="12.75">
      <c r="A99" s="3" t="s">
        <v>11</v>
      </c>
      <c r="J99" s="30">
        <v>4749</v>
      </c>
      <c r="K99" s="42">
        <v>4827</v>
      </c>
      <c r="L99" s="42">
        <f t="shared" si="9"/>
        <v>4727</v>
      </c>
      <c r="M99" s="42">
        <f t="shared" si="8"/>
        <v>5088</v>
      </c>
    </row>
    <row r="100" spans="1:13" ht="12.75">
      <c r="A100" s="3" t="s">
        <v>12</v>
      </c>
      <c r="J100" s="30">
        <v>4474</v>
      </c>
      <c r="K100" s="42">
        <v>3833</v>
      </c>
      <c r="L100" s="42">
        <f t="shared" si="9"/>
        <v>4350</v>
      </c>
      <c r="M100" s="42">
        <f t="shared" si="8"/>
        <v>5515</v>
      </c>
    </row>
    <row r="101" spans="1:13" ht="12.75">
      <c r="A101" s="3" t="s">
        <v>13</v>
      </c>
      <c r="J101" s="30">
        <v>3863</v>
      </c>
      <c r="K101" s="42">
        <v>4279</v>
      </c>
      <c r="L101" s="42">
        <f t="shared" si="9"/>
        <v>4902</v>
      </c>
      <c r="M101" s="42">
        <f t="shared" si="8"/>
        <v>4903</v>
      </c>
    </row>
    <row r="102" spans="1:13" ht="12.75">
      <c r="A102" s="3" t="s">
        <v>14</v>
      </c>
      <c r="J102" s="30">
        <v>4225</v>
      </c>
      <c r="K102" s="42">
        <v>4869</v>
      </c>
      <c r="L102" s="42">
        <f t="shared" si="9"/>
        <v>5442</v>
      </c>
      <c r="M102" s="42">
        <f t="shared" si="8"/>
        <v>5391</v>
      </c>
    </row>
    <row r="103" spans="1:13" ht="15">
      <c r="A103" s="3" t="s">
        <v>15</v>
      </c>
      <c r="J103" s="40">
        <v>4577</v>
      </c>
      <c r="K103" s="51">
        <v>4273</v>
      </c>
      <c r="L103" s="62">
        <f t="shared" si="9"/>
        <v>4720</v>
      </c>
      <c r="M103" s="62"/>
    </row>
    <row r="104" spans="1:14" ht="13.5" thickBot="1">
      <c r="A104" s="10" t="s">
        <v>16</v>
      </c>
      <c r="J104" s="30">
        <f>SUM(J96:J103)</f>
        <v>31028</v>
      </c>
      <c r="K104" s="42">
        <f>SUM(K92:K103)</f>
        <v>52579</v>
      </c>
      <c r="L104" s="42">
        <f>SUM(L92:L103)</f>
        <v>57757</v>
      </c>
      <c r="M104" s="42"/>
      <c r="N104" s="30" t="s">
        <v>18</v>
      </c>
    </row>
    <row r="105" ht="13.5" thickTop="1"/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50"/>
  <sheetViews>
    <sheetView tabSelected="1" zoomScalePageLayoutView="0" workbookViewId="0" topLeftCell="A1">
      <selection activeCell="M31" sqref="M31"/>
    </sheetView>
  </sheetViews>
  <sheetFormatPr defaultColWidth="9.140625" defaultRowHeight="12.75"/>
  <cols>
    <col min="1" max="1" width="11.421875" style="0" customWidth="1"/>
    <col min="2" max="2" width="9.7109375" style="0" customWidth="1"/>
    <col min="3" max="3" width="11.00390625" style="0" customWidth="1"/>
    <col min="4" max="5" width="11.57421875" style="0" customWidth="1"/>
    <col min="6" max="6" width="9.57421875" style="0" customWidth="1"/>
    <col min="7" max="7" width="10.421875" style="0" customWidth="1"/>
    <col min="8" max="8" width="9.421875" style="0" customWidth="1"/>
    <col min="9" max="9" width="9.8515625" style="0" customWidth="1"/>
    <col min="10" max="10" width="10.140625" style="0" customWidth="1"/>
    <col min="11" max="11" width="8.140625" style="0" customWidth="1"/>
    <col min="12" max="12" width="9.7109375" style="0" bestFit="1" customWidth="1"/>
    <col min="13" max="13" width="11.28125" style="0" bestFit="1" customWidth="1"/>
  </cols>
  <sheetData>
    <row r="2" spans="5:6" ht="15">
      <c r="E2" s="52"/>
      <c r="F2" s="52" t="s">
        <v>0</v>
      </c>
    </row>
    <row r="3" spans="5:6" ht="15">
      <c r="E3" s="52" t="s">
        <v>43</v>
      </c>
      <c r="F3" s="52"/>
    </row>
    <row r="5" spans="2:11" ht="12.75">
      <c r="B5" s="48"/>
      <c r="C5" s="49" t="s">
        <v>40</v>
      </c>
      <c r="D5" s="49"/>
      <c r="E5" s="49" t="s">
        <v>37</v>
      </c>
      <c r="F5" s="49" t="s">
        <v>22</v>
      </c>
      <c r="G5" s="49"/>
      <c r="H5" s="49" t="s">
        <v>37</v>
      </c>
      <c r="I5" s="49" t="s">
        <v>41</v>
      </c>
      <c r="J5" s="49"/>
      <c r="K5" s="49" t="s">
        <v>37</v>
      </c>
    </row>
    <row r="6" spans="2:12" ht="12.75">
      <c r="B6" s="48" t="s">
        <v>3</v>
      </c>
      <c r="C6" s="50" t="s">
        <v>34</v>
      </c>
      <c r="D6" s="50" t="s">
        <v>35</v>
      </c>
      <c r="E6" s="50" t="s">
        <v>38</v>
      </c>
      <c r="F6" s="50" t="s">
        <v>34</v>
      </c>
      <c r="G6" s="50" t="s">
        <v>35</v>
      </c>
      <c r="H6" s="50" t="s">
        <v>38</v>
      </c>
      <c r="I6" s="50" t="s">
        <v>34</v>
      </c>
      <c r="J6" s="50" t="s">
        <v>35</v>
      </c>
      <c r="K6" s="50" t="s">
        <v>38</v>
      </c>
      <c r="L6" t="s">
        <v>36</v>
      </c>
    </row>
    <row r="7" spans="2:12" ht="12.75">
      <c r="B7" t="s">
        <v>20</v>
      </c>
      <c r="C7" s="30">
        <f>'CityCounty Sales Tax'!W7+'Use Tax'!M8</f>
        <v>1227270</v>
      </c>
      <c r="D7" s="30">
        <f>D38-1</f>
        <v>1120880</v>
      </c>
      <c r="E7" s="30">
        <f aca="true" t="shared" si="0" ref="E7:E17">C7-D7</f>
        <v>106390</v>
      </c>
      <c r="F7" s="30">
        <f>'CityCounty Sales Tax'!W30+'Use Tax'!M29</f>
        <v>767058</v>
      </c>
      <c r="G7" s="30">
        <f>(G38/G$50*9041050)</f>
        <v>738586</v>
      </c>
      <c r="H7" s="30">
        <f aca="true" t="shared" si="1" ref="H7:H17">F7-G7</f>
        <v>28472</v>
      </c>
      <c r="I7" s="42">
        <f>'CityCounty Sales Tax'!W53+'CityCounty Sales Tax'!W73+'CityCounty Sales Tax'!W93+'Use Tax'!M50+'Use Tax'!M71+'Use Tax'!M92</f>
        <v>674998</v>
      </c>
      <c r="J7" s="42">
        <f>(D7*0.55)-1</f>
        <v>616483</v>
      </c>
      <c r="K7" s="30">
        <f aca="true" t="shared" si="2" ref="K7:K17">I7-J7</f>
        <v>58515</v>
      </c>
      <c r="L7" t="s">
        <v>18</v>
      </c>
    </row>
    <row r="8" spans="2:12" ht="12.75">
      <c r="B8" t="s">
        <v>21</v>
      </c>
      <c r="C8" s="30">
        <f>'CityCounty Sales Tax'!W8+'Use Tax'!M9</f>
        <v>1312285</v>
      </c>
      <c r="D8" s="30">
        <f>D39-1</f>
        <v>1250569</v>
      </c>
      <c r="E8" s="30">
        <f t="shared" si="0"/>
        <v>61716</v>
      </c>
      <c r="F8" s="30">
        <f>'CityCounty Sales Tax'!W31+'Use Tax'!M30</f>
        <v>824375</v>
      </c>
      <c r="G8" s="30">
        <f aca="true" t="shared" si="3" ref="G8:G18">(G39/G$50*9041050)</f>
        <v>805642</v>
      </c>
      <c r="H8" s="30">
        <f t="shared" si="1"/>
        <v>18733</v>
      </c>
      <c r="I8" s="42">
        <f>'CityCounty Sales Tax'!W54+'CityCounty Sales Tax'!W74+'CityCounty Sales Tax'!W94+'Use Tax'!M51+'Use Tax'!M72+'Use Tax'!M93</f>
        <v>721757</v>
      </c>
      <c r="J8" s="42">
        <f aca="true" t="shared" si="4" ref="J8:J18">D8*0.55</f>
        <v>687813</v>
      </c>
      <c r="K8" s="30">
        <f t="shared" si="2"/>
        <v>33944</v>
      </c>
      <c r="L8" t="s">
        <v>18</v>
      </c>
    </row>
    <row r="9" spans="2:13" ht="12.75">
      <c r="B9" t="s">
        <v>6</v>
      </c>
      <c r="C9" s="30">
        <f>'CityCounty Sales Tax'!W9+'Use Tax'!M10</f>
        <v>1249033</v>
      </c>
      <c r="D9" s="30">
        <f>D40-1</f>
        <v>1187463</v>
      </c>
      <c r="E9" s="30">
        <f t="shared" si="0"/>
        <v>61570</v>
      </c>
      <c r="F9" s="30">
        <f>'CityCounty Sales Tax'!W32+'Use Tax'!M31</f>
        <v>788003</v>
      </c>
      <c r="G9" s="30">
        <f t="shared" si="3"/>
        <v>774126</v>
      </c>
      <c r="H9" s="30">
        <f t="shared" si="1"/>
        <v>13877</v>
      </c>
      <c r="I9" s="42">
        <f>'CityCounty Sales Tax'!W55+'CityCounty Sales Tax'!W75+'CityCounty Sales Tax'!W95+'Use Tax'!M52+'Use Tax'!M73+'Use Tax'!M94</f>
        <v>686967</v>
      </c>
      <c r="J9" s="42">
        <f t="shared" si="4"/>
        <v>653105</v>
      </c>
      <c r="K9" s="30">
        <f t="shared" si="2"/>
        <v>33862</v>
      </c>
      <c r="L9" t="s">
        <v>18</v>
      </c>
      <c r="M9" s="37" t="s">
        <v>18</v>
      </c>
    </row>
    <row r="10" spans="2:12" ht="12.75">
      <c r="B10" t="s">
        <v>7</v>
      </c>
      <c r="C10" s="30">
        <f>'CityCounty Sales Tax'!W10+'Use Tax'!M11</f>
        <v>1045992</v>
      </c>
      <c r="D10" s="30">
        <f aca="true" t="shared" si="5" ref="D10:D18">D41</f>
        <v>948084</v>
      </c>
      <c r="E10" s="30">
        <f t="shared" si="0"/>
        <v>97908</v>
      </c>
      <c r="F10" s="30">
        <f>'CityCounty Sales Tax'!W33+'Use Tax'!M32</f>
        <v>657139</v>
      </c>
      <c r="G10" s="30">
        <f t="shared" si="3"/>
        <v>617929</v>
      </c>
      <c r="H10" s="30">
        <f t="shared" si="1"/>
        <v>39210</v>
      </c>
      <c r="I10" s="42">
        <f>'CityCounty Sales Tax'!W56+'CityCounty Sales Tax'!W76+'CityCounty Sales Tax'!W96+'Use Tax'!M53+'Use Tax'!M74+'Use Tax'!M95</f>
        <v>575296</v>
      </c>
      <c r="J10" s="42">
        <f t="shared" si="4"/>
        <v>521446</v>
      </c>
      <c r="K10" s="30">
        <f t="shared" si="2"/>
        <v>53850</v>
      </c>
      <c r="L10" t="s">
        <v>18</v>
      </c>
    </row>
    <row r="11" spans="2:12" ht="12.75">
      <c r="B11" t="s">
        <v>8</v>
      </c>
      <c r="C11" s="30">
        <f>'CityCounty Sales Tax'!W11+'Use Tax'!M12</f>
        <v>1225943</v>
      </c>
      <c r="D11" s="30">
        <f t="shared" si="5"/>
        <v>1154754</v>
      </c>
      <c r="E11" s="30">
        <f t="shared" si="0"/>
        <v>71189</v>
      </c>
      <c r="F11" s="30">
        <f>'CityCounty Sales Tax'!W34+'Use Tax'!M33</f>
        <v>770919</v>
      </c>
      <c r="G11" s="30">
        <f t="shared" si="3"/>
        <v>755243</v>
      </c>
      <c r="H11" s="30">
        <f t="shared" si="1"/>
        <v>15676</v>
      </c>
      <c r="I11" s="42">
        <f>'CityCounty Sales Tax'!W57+'CityCounty Sales Tax'!W77+'CityCounty Sales Tax'!W97+'Use Tax'!M54+'Use Tax'!M75+'Use Tax'!M96</f>
        <v>674269</v>
      </c>
      <c r="J11" s="42">
        <f t="shared" si="4"/>
        <v>635115</v>
      </c>
      <c r="K11" s="30">
        <f t="shared" si="2"/>
        <v>39154</v>
      </c>
      <c r="L11" s="30" t="s">
        <v>18</v>
      </c>
    </row>
    <row r="12" spans="2:13" ht="12.75">
      <c r="B12" t="s">
        <v>9</v>
      </c>
      <c r="C12" s="30">
        <f>'CityCounty Sales Tax'!W12+'Use Tax'!M13</f>
        <v>1208601</v>
      </c>
      <c r="D12" s="30">
        <f t="shared" si="5"/>
        <v>1154946</v>
      </c>
      <c r="E12" s="30">
        <f t="shared" si="0"/>
        <v>53655</v>
      </c>
      <c r="F12" s="30">
        <f>'CityCounty Sales Tax'!W35+'Use Tax'!M34</f>
        <v>762675</v>
      </c>
      <c r="G12" s="30">
        <f t="shared" si="3"/>
        <v>746466</v>
      </c>
      <c r="H12" s="30">
        <f t="shared" si="1"/>
        <v>16209</v>
      </c>
      <c r="I12" s="42">
        <f>'CityCounty Sales Tax'!W58+'CityCounty Sales Tax'!W78+'CityCounty Sales Tax'!W98+'Use Tax'!M55+'Use Tax'!M76+'Use Tax'!M97</f>
        <v>664731</v>
      </c>
      <c r="J12" s="42">
        <f t="shared" si="4"/>
        <v>635220</v>
      </c>
      <c r="K12" s="30">
        <f t="shared" si="2"/>
        <v>29511</v>
      </c>
      <c r="L12" t="s">
        <v>18</v>
      </c>
      <c r="M12" t="s">
        <v>18</v>
      </c>
    </row>
    <row r="13" spans="2:13" ht="12.75">
      <c r="B13" t="s">
        <v>10</v>
      </c>
      <c r="C13" s="30">
        <f>'CityCounty Sales Tax'!W13+'Use Tax'!M14</f>
        <v>1252750</v>
      </c>
      <c r="D13" s="30">
        <f t="shared" si="5"/>
        <v>1197423</v>
      </c>
      <c r="E13" s="30">
        <f t="shared" si="0"/>
        <v>55327</v>
      </c>
      <c r="F13" s="30">
        <f>'CityCounty Sales Tax'!W36+'Use Tax'!M35</f>
        <v>788840</v>
      </c>
      <c r="G13" s="30">
        <f t="shared" si="3"/>
        <v>773079</v>
      </c>
      <c r="H13" s="30">
        <f t="shared" si="1"/>
        <v>15761</v>
      </c>
      <c r="I13" s="42">
        <f>'CityCounty Sales Tax'!W59+'CityCounty Sales Tax'!W79+'CityCounty Sales Tax'!W99+'Use Tax'!M56+'Use Tax'!M77+'Use Tax'!M98</f>
        <v>689013</v>
      </c>
      <c r="J13" s="42">
        <f t="shared" si="4"/>
        <v>658583</v>
      </c>
      <c r="K13" s="30">
        <f t="shared" si="2"/>
        <v>30430</v>
      </c>
      <c r="M13" s="30" t="s">
        <v>18</v>
      </c>
    </row>
    <row r="14" spans="2:13" ht="12.75">
      <c r="B14" t="s">
        <v>11</v>
      </c>
      <c r="C14" s="30">
        <f>'CityCounty Sales Tax'!W14+'Use Tax'!M15</f>
        <v>1342654</v>
      </c>
      <c r="D14" s="30">
        <f t="shared" si="5"/>
        <v>1070212</v>
      </c>
      <c r="E14" s="30">
        <f t="shared" si="0"/>
        <v>272442</v>
      </c>
      <c r="F14" s="30">
        <f>'CityCounty Sales Tax'!W37+'Use Tax'!M36</f>
        <v>852492</v>
      </c>
      <c r="G14" s="30">
        <f t="shared" si="3"/>
        <v>704267</v>
      </c>
      <c r="H14" s="30">
        <f t="shared" si="1"/>
        <v>148225</v>
      </c>
      <c r="I14" s="42">
        <f>'CityCounty Sales Tax'!W60+'CityCounty Sales Tax'!W80+'CityCounty Sales Tax'!W100+'Use Tax'!M57+'Use Tax'!M78+'Use Tax'!M99</f>
        <v>738459</v>
      </c>
      <c r="J14" s="42">
        <f t="shared" si="4"/>
        <v>588617</v>
      </c>
      <c r="K14" s="30">
        <f t="shared" si="2"/>
        <v>149842</v>
      </c>
      <c r="M14" t="s">
        <v>18</v>
      </c>
    </row>
    <row r="15" spans="2:13" ht="12.75">
      <c r="B15" t="s">
        <v>12</v>
      </c>
      <c r="C15" s="30">
        <f>'CityCounty Sales Tax'!W15+'Use Tax'!M16</f>
        <v>1094944</v>
      </c>
      <c r="D15" s="30">
        <f t="shared" si="5"/>
        <v>1107604</v>
      </c>
      <c r="E15" s="30">
        <f t="shared" si="0"/>
        <v>-12660</v>
      </c>
      <c r="F15" s="30">
        <f>'CityCounty Sales Tax'!W38+'Use Tax'!M37</f>
        <v>711440</v>
      </c>
      <c r="G15" s="30">
        <f t="shared" si="3"/>
        <v>728037</v>
      </c>
      <c r="H15" s="30">
        <f t="shared" si="1"/>
        <v>-16597</v>
      </c>
      <c r="I15" s="42">
        <f>'CityCounty Sales Tax'!W61+'CityCounty Sales Tax'!W81+'CityCounty Sales Tax'!W101+'Use Tax'!M58+'Use Tax'!M79+'Use Tax'!M100</f>
        <v>602220</v>
      </c>
      <c r="J15" s="42">
        <f t="shared" si="4"/>
        <v>609182</v>
      </c>
      <c r="K15" s="30">
        <f t="shared" si="2"/>
        <v>-6962</v>
      </c>
      <c r="M15" s="30" t="s">
        <v>18</v>
      </c>
    </row>
    <row r="16" spans="2:13" ht="12.75">
      <c r="B16" t="s">
        <v>13</v>
      </c>
      <c r="C16" s="30">
        <f>'CityCounty Sales Tax'!W16+'Use Tax'!M17</f>
        <v>1321176</v>
      </c>
      <c r="D16" s="30">
        <f t="shared" si="5"/>
        <v>1246994</v>
      </c>
      <c r="E16" s="30">
        <f t="shared" si="0"/>
        <v>74182</v>
      </c>
      <c r="F16" s="30">
        <f>'CityCounty Sales Tax'!W39+'Use Tax'!M38</f>
        <v>844631</v>
      </c>
      <c r="G16" s="30">
        <f t="shared" si="3"/>
        <v>813318</v>
      </c>
      <c r="H16" s="30">
        <f t="shared" si="1"/>
        <v>31313</v>
      </c>
      <c r="I16" s="42">
        <f>'CityCounty Sales Tax'!W62+'CityCounty Sales Tax'!W82+'CityCounty Sales Tax'!W102+'Use Tax'!M59+'Use Tax'!M80+'Use Tax'!M101</f>
        <v>726647</v>
      </c>
      <c r="J16" s="42">
        <f t="shared" si="4"/>
        <v>685847</v>
      </c>
      <c r="K16" s="30">
        <f t="shared" si="2"/>
        <v>40800</v>
      </c>
      <c r="M16" s="30" t="s">
        <v>18</v>
      </c>
    </row>
    <row r="17" spans="2:11" ht="12.75">
      <c r="B17" t="s">
        <v>14</v>
      </c>
      <c r="C17" s="30">
        <f>'CityCounty Sales Tax'!W17+'Use Tax'!M18</f>
        <v>1315968</v>
      </c>
      <c r="D17" s="30">
        <f t="shared" si="5"/>
        <v>1201507</v>
      </c>
      <c r="E17" s="30">
        <f t="shared" si="0"/>
        <v>114461</v>
      </c>
      <c r="F17" s="30">
        <f>'CityCounty Sales Tax'!W40+'Use Tax'!M39</f>
        <v>839878</v>
      </c>
      <c r="G17" s="30">
        <f t="shared" si="3"/>
        <v>779850</v>
      </c>
      <c r="H17" s="30">
        <f t="shared" si="1"/>
        <v>60028</v>
      </c>
      <c r="I17" s="42">
        <f>'CityCounty Sales Tax'!W63+'CityCounty Sales Tax'!W83+'CityCounty Sales Tax'!W103+'Use Tax'!M60+'Use Tax'!M81+'Use Tax'!M102</f>
        <v>723782</v>
      </c>
      <c r="J17" s="42">
        <f t="shared" si="4"/>
        <v>660829</v>
      </c>
      <c r="K17" s="30">
        <f t="shared" si="2"/>
        <v>62953</v>
      </c>
    </row>
    <row r="18" spans="2:11" ht="12.75">
      <c r="B18" t="s">
        <v>15</v>
      </c>
      <c r="C18" s="30">
        <f>'CityCounty Sales Tax'!W18+'Use Tax'!M19</f>
        <v>0</v>
      </c>
      <c r="D18" s="30">
        <f t="shared" si="5"/>
        <v>1239830</v>
      </c>
      <c r="E18" s="30" t="s">
        <v>18</v>
      </c>
      <c r="F18" s="30" t="s">
        <v>18</v>
      </c>
      <c r="G18" s="30">
        <f t="shared" si="3"/>
        <v>804508</v>
      </c>
      <c r="H18" s="30" t="s">
        <v>18</v>
      </c>
      <c r="I18" s="42" t="s">
        <v>18</v>
      </c>
      <c r="J18" s="42">
        <f t="shared" si="4"/>
        <v>681907</v>
      </c>
      <c r="K18" s="30" t="s">
        <v>18</v>
      </c>
    </row>
    <row r="19" spans="3:13" ht="12.75">
      <c r="C19" s="30">
        <f aca="true" t="shared" si="6" ref="C19:K19">SUM(C7:C18)</f>
        <v>13596616</v>
      </c>
      <c r="D19" s="30">
        <f t="shared" si="6"/>
        <v>13880266</v>
      </c>
      <c r="E19" s="30">
        <f t="shared" si="6"/>
        <v>956180</v>
      </c>
      <c r="F19" s="30">
        <f t="shared" si="6"/>
        <v>8607450</v>
      </c>
      <c r="G19" s="30">
        <f>(G50/G$50*9041050)</f>
        <v>9041050</v>
      </c>
      <c r="H19" s="30">
        <f t="shared" si="6"/>
        <v>370907</v>
      </c>
      <c r="I19" s="30">
        <f t="shared" si="6"/>
        <v>7478139</v>
      </c>
      <c r="J19" s="30">
        <f t="shared" si="6"/>
        <v>7634147</v>
      </c>
      <c r="K19" s="30">
        <f t="shared" si="6"/>
        <v>525899</v>
      </c>
      <c r="L19" s="30">
        <f>E19+H19+K19</f>
        <v>1852986</v>
      </c>
      <c r="M19" s="30">
        <f>D19+G19+J19</f>
        <v>30555463</v>
      </c>
    </row>
    <row r="20" ht="12.75">
      <c r="G20" s="30">
        <f>(G51/G$50*9041050)</f>
        <v>0</v>
      </c>
    </row>
    <row r="22" ht="12.75">
      <c r="B22" s="37" t="s">
        <v>39</v>
      </c>
    </row>
    <row r="23" spans="2:10" ht="12.75">
      <c r="B23" t="s">
        <v>20</v>
      </c>
      <c r="D23" s="29">
        <f>D38/1.55</f>
        <v>723149</v>
      </c>
      <c r="G23" s="30">
        <v>799395</v>
      </c>
      <c r="I23" s="30">
        <f>D38*0.55/1.55</f>
        <v>397732</v>
      </c>
      <c r="J23" s="30"/>
    </row>
    <row r="24" spans="2:10" ht="12.75">
      <c r="B24" t="s">
        <v>21</v>
      </c>
      <c r="C24" s="17"/>
      <c r="D24" s="29">
        <f aca="true" t="shared" si="7" ref="D24:D34">D39/1.55</f>
        <v>806819</v>
      </c>
      <c r="E24" s="17"/>
      <c r="F24" s="28"/>
      <c r="G24" s="30">
        <v>780793</v>
      </c>
      <c r="H24" s="28"/>
      <c r="I24" s="30">
        <f aca="true" t="shared" si="8" ref="I24:I34">D39*0.55/1.55</f>
        <v>443751</v>
      </c>
      <c r="J24" s="30"/>
    </row>
    <row r="25" spans="2:10" ht="12.75">
      <c r="B25" t="s">
        <v>6</v>
      </c>
      <c r="C25" s="17"/>
      <c r="D25" s="29">
        <f t="shared" si="7"/>
        <v>766106</v>
      </c>
      <c r="E25" s="17"/>
      <c r="F25" s="28"/>
      <c r="G25" s="30">
        <v>763484</v>
      </c>
      <c r="H25" s="28"/>
      <c r="I25" s="30">
        <f t="shared" si="8"/>
        <v>421358</v>
      </c>
      <c r="J25" s="30"/>
    </row>
    <row r="26" spans="2:10" ht="12.75">
      <c r="B26" t="s">
        <v>7</v>
      </c>
      <c r="C26" s="17"/>
      <c r="D26" s="29">
        <f t="shared" si="7"/>
        <v>611667</v>
      </c>
      <c r="E26" s="17"/>
      <c r="F26" s="28"/>
      <c r="G26" s="30">
        <v>656790</v>
      </c>
      <c r="H26" s="28"/>
      <c r="I26" s="30">
        <f t="shared" si="8"/>
        <v>336417</v>
      </c>
      <c r="J26" s="30"/>
    </row>
    <row r="27" spans="2:10" ht="12.75">
      <c r="B27" t="s">
        <v>8</v>
      </c>
      <c r="C27" s="17"/>
      <c r="D27" s="29">
        <f t="shared" si="7"/>
        <v>745003</v>
      </c>
      <c r="E27" s="17"/>
      <c r="F27" s="28"/>
      <c r="G27" s="30">
        <v>747992</v>
      </c>
      <c r="H27" s="28"/>
      <c r="I27" s="30">
        <f t="shared" si="8"/>
        <v>409751</v>
      </c>
      <c r="J27" s="30"/>
    </row>
    <row r="28" spans="2:10" ht="12.75">
      <c r="B28" t="s">
        <v>9</v>
      </c>
      <c r="C28" s="17"/>
      <c r="D28" s="29">
        <f t="shared" si="7"/>
        <v>745126</v>
      </c>
      <c r="E28" s="17"/>
      <c r="F28" s="28"/>
      <c r="G28" s="30">
        <v>782049</v>
      </c>
      <c r="H28" s="28"/>
      <c r="I28" s="30">
        <f t="shared" si="8"/>
        <v>409820</v>
      </c>
      <c r="J28" s="30"/>
    </row>
    <row r="29" spans="2:10" ht="12.75">
      <c r="B29" t="s">
        <v>10</v>
      </c>
      <c r="C29" s="17"/>
      <c r="D29" s="29">
        <f t="shared" si="7"/>
        <v>772531</v>
      </c>
      <c r="E29" s="17"/>
      <c r="F29" s="28"/>
      <c r="G29" s="30">
        <v>817228</v>
      </c>
      <c r="H29" s="28"/>
      <c r="I29" s="30">
        <f t="shared" si="8"/>
        <v>424892</v>
      </c>
      <c r="J29" s="30"/>
    </row>
    <row r="30" spans="2:10" ht="12.75">
      <c r="B30" t="s">
        <v>11</v>
      </c>
      <c r="D30" s="29">
        <f t="shared" si="7"/>
        <v>690459</v>
      </c>
      <c r="F30" s="28"/>
      <c r="G30" s="30">
        <v>766444</v>
      </c>
      <c r="H30" s="28"/>
      <c r="I30" s="30">
        <f t="shared" si="8"/>
        <v>379753</v>
      </c>
      <c r="J30" s="30"/>
    </row>
    <row r="31" spans="2:10" ht="12.75">
      <c r="B31" t="s">
        <v>12</v>
      </c>
      <c r="D31" s="29">
        <f t="shared" si="7"/>
        <v>714583</v>
      </c>
      <c r="F31" s="28"/>
      <c r="G31" s="30">
        <v>739152</v>
      </c>
      <c r="H31" s="28"/>
      <c r="I31" s="30">
        <f t="shared" si="8"/>
        <v>393021</v>
      </c>
      <c r="J31" s="30"/>
    </row>
    <row r="32" spans="2:10" ht="12.75">
      <c r="B32" t="s">
        <v>13</v>
      </c>
      <c r="D32" s="29">
        <f t="shared" si="7"/>
        <v>804512</v>
      </c>
      <c r="F32" s="28"/>
      <c r="G32" s="30">
        <v>814582</v>
      </c>
      <c r="H32" s="28"/>
      <c r="I32" s="30">
        <f t="shared" si="8"/>
        <v>442482</v>
      </c>
      <c r="J32" s="30"/>
    </row>
    <row r="33" spans="2:10" ht="12.75">
      <c r="B33" t="s">
        <v>14</v>
      </c>
      <c r="C33" s="17"/>
      <c r="D33" s="29">
        <f t="shared" si="7"/>
        <v>775166</v>
      </c>
      <c r="E33" s="17"/>
      <c r="F33" s="28"/>
      <c r="G33" s="30">
        <v>744725</v>
      </c>
      <c r="H33" s="28"/>
      <c r="I33" s="30">
        <f t="shared" si="8"/>
        <v>426341</v>
      </c>
      <c r="J33" s="30"/>
    </row>
    <row r="34" spans="2:10" ht="12.75">
      <c r="B34" t="s">
        <v>15</v>
      </c>
      <c r="C34" s="17"/>
      <c r="D34" s="29">
        <f t="shared" si="7"/>
        <v>799890</v>
      </c>
      <c r="E34" s="17"/>
      <c r="F34" s="28"/>
      <c r="G34" s="30">
        <v>796613</v>
      </c>
      <c r="H34" s="28"/>
      <c r="I34" s="30">
        <f t="shared" si="8"/>
        <v>439940</v>
      </c>
      <c r="J34" s="30"/>
    </row>
    <row r="35" spans="2:13" ht="12.75">
      <c r="B35" s="28"/>
      <c r="C35" s="45"/>
      <c r="D35" s="47">
        <f>SUM(D23:D34)</f>
        <v>8955011</v>
      </c>
      <c r="E35" s="45"/>
      <c r="F35" s="28"/>
      <c r="G35" s="28">
        <f>SUM(G23:G34)</f>
        <v>9209247</v>
      </c>
      <c r="H35" s="28"/>
      <c r="I35" s="30">
        <f>SUM(I23:I34)</f>
        <v>4925258</v>
      </c>
      <c r="J35" s="30"/>
      <c r="M35" s="29">
        <f>D35+I35+G35</f>
        <v>23089516</v>
      </c>
    </row>
    <row r="36" spans="2:13" ht="12.75">
      <c r="B36" s="20"/>
      <c r="C36" s="20"/>
      <c r="D36" s="20">
        <v>14307061</v>
      </c>
      <c r="E36" s="20"/>
      <c r="F36" s="20"/>
      <c r="G36" s="42">
        <v>9288200</v>
      </c>
      <c r="H36" s="20"/>
      <c r="I36" s="20">
        <v>7231852</v>
      </c>
      <c r="J36" s="20"/>
      <c r="M36" s="29">
        <f>D36+I36+G36</f>
        <v>30827113</v>
      </c>
    </row>
    <row r="38" spans="1:10" ht="12.75">
      <c r="A38" s="41">
        <v>1052828</v>
      </c>
      <c r="B38" s="30">
        <v>83579</v>
      </c>
      <c r="C38" s="29">
        <f>A38+B38</f>
        <v>1136407</v>
      </c>
      <c r="D38" s="29">
        <f>(C38/C$50*13880268)</f>
        <v>1120881</v>
      </c>
      <c r="E38" s="20">
        <v>664936</v>
      </c>
      <c r="F38" s="30">
        <v>56960</v>
      </c>
      <c r="G38" s="29">
        <f>E38+F38</f>
        <v>721896</v>
      </c>
      <c r="H38" s="29">
        <f>(G38/G$50*8619000)</f>
        <v>704108</v>
      </c>
      <c r="I38">
        <v>22008</v>
      </c>
      <c r="J38" s="29">
        <f>H38+I38</f>
        <v>726116</v>
      </c>
    </row>
    <row r="39" spans="1:10" ht="12.75">
      <c r="A39" s="41">
        <v>1164582</v>
      </c>
      <c r="B39" s="30">
        <v>103310</v>
      </c>
      <c r="C39" s="29">
        <f aca="true" t="shared" si="9" ref="C39:C49">A39+B39</f>
        <v>1267892</v>
      </c>
      <c r="D39" s="29">
        <f aca="true" t="shared" si="10" ref="D39:D49">(C39/C$50*13880268)</f>
        <v>1250570</v>
      </c>
      <c r="E39" s="20">
        <v>714048</v>
      </c>
      <c r="F39" s="30">
        <v>73388</v>
      </c>
      <c r="G39" s="29">
        <f aca="true" t="shared" si="11" ref="G39:G49">E39+F39</f>
        <v>787436</v>
      </c>
      <c r="H39" s="29">
        <f aca="true" t="shared" si="12" ref="H39:H49">(G39/G$50*8619000)</f>
        <v>768033</v>
      </c>
      <c r="I39">
        <v>32718</v>
      </c>
      <c r="J39" s="29">
        <f aca="true" t="shared" si="13" ref="J39:J49">H39+I39</f>
        <v>800751</v>
      </c>
    </row>
    <row r="40" spans="1:10" ht="12.75">
      <c r="A40" s="41">
        <v>1115296</v>
      </c>
      <c r="B40" s="30">
        <v>88616</v>
      </c>
      <c r="C40" s="29">
        <f t="shared" si="9"/>
        <v>1203912</v>
      </c>
      <c r="D40" s="29">
        <f t="shared" si="10"/>
        <v>1187464</v>
      </c>
      <c r="E40" s="20">
        <v>695625</v>
      </c>
      <c r="F40" s="30">
        <v>61008</v>
      </c>
      <c r="G40" s="29">
        <f t="shared" si="11"/>
        <v>756633</v>
      </c>
      <c r="H40" s="29">
        <f t="shared" si="12"/>
        <v>737989</v>
      </c>
      <c r="I40">
        <v>26585</v>
      </c>
      <c r="J40" s="29">
        <f t="shared" si="13"/>
        <v>764574</v>
      </c>
    </row>
    <row r="41" spans="1:10" ht="12.75">
      <c r="A41" s="41">
        <v>890380</v>
      </c>
      <c r="B41" s="30">
        <v>70837</v>
      </c>
      <c r="C41" s="29">
        <f t="shared" si="9"/>
        <v>961217</v>
      </c>
      <c r="D41" s="29">
        <f t="shared" si="10"/>
        <v>948084</v>
      </c>
      <c r="E41" s="20">
        <v>556237</v>
      </c>
      <c r="F41" s="30">
        <v>47728</v>
      </c>
      <c r="G41" s="29">
        <f t="shared" si="11"/>
        <v>603965</v>
      </c>
      <c r="H41" s="29">
        <f t="shared" si="12"/>
        <v>589083</v>
      </c>
      <c r="I41">
        <v>21869</v>
      </c>
      <c r="J41" s="29">
        <f t="shared" si="13"/>
        <v>610952</v>
      </c>
    </row>
    <row r="42" spans="1:10" ht="12.75">
      <c r="A42" s="41">
        <v>1067354</v>
      </c>
      <c r="B42" s="30">
        <v>103395</v>
      </c>
      <c r="C42" s="29">
        <f t="shared" si="9"/>
        <v>1170749</v>
      </c>
      <c r="D42" s="29">
        <f t="shared" si="10"/>
        <v>1154754</v>
      </c>
      <c r="E42" s="20">
        <v>660282</v>
      </c>
      <c r="F42" s="30">
        <v>77894</v>
      </c>
      <c r="G42" s="29">
        <f t="shared" si="11"/>
        <v>738176</v>
      </c>
      <c r="H42" s="29">
        <f t="shared" si="12"/>
        <v>719987</v>
      </c>
      <c r="I42">
        <v>31299</v>
      </c>
      <c r="J42" s="29">
        <f t="shared" si="13"/>
        <v>751286</v>
      </c>
    </row>
    <row r="43" spans="1:10" ht="12.75">
      <c r="A43" s="41">
        <v>1075419</v>
      </c>
      <c r="B43" s="30">
        <v>95525</v>
      </c>
      <c r="C43" s="29">
        <f t="shared" si="9"/>
        <v>1170944</v>
      </c>
      <c r="D43" s="29">
        <f t="shared" si="10"/>
        <v>1154946</v>
      </c>
      <c r="E43" s="20">
        <v>662964</v>
      </c>
      <c r="F43" s="30">
        <v>66634</v>
      </c>
      <c r="G43" s="29">
        <f t="shared" si="11"/>
        <v>729598</v>
      </c>
      <c r="H43" s="29">
        <f t="shared" si="12"/>
        <v>711620</v>
      </c>
      <c r="I43">
        <v>29515</v>
      </c>
      <c r="J43" s="29">
        <f t="shared" si="13"/>
        <v>741135</v>
      </c>
    </row>
    <row r="44" spans="1:10" ht="12.75">
      <c r="A44" s="41">
        <v>1086940</v>
      </c>
      <c r="B44" s="30">
        <v>127069</v>
      </c>
      <c r="C44" s="29">
        <f t="shared" si="9"/>
        <v>1214009</v>
      </c>
      <c r="D44" s="29">
        <f t="shared" si="10"/>
        <v>1197423</v>
      </c>
      <c r="E44" s="20">
        <v>672177</v>
      </c>
      <c r="F44" s="30">
        <v>83432</v>
      </c>
      <c r="G44" s="29">
        <f t="shared" si="11"/>
        <v>755609</v>
      </c>
      <c r="H44" s="29">
        <f t="shared" si="12"/>
        <v>736990</v>
      </c>
      <c r="I44">
        <v>18993</v>
      </c>
      <c r="J44" s="29">
        <f t="shared" si="13"/>
        <v>755983</v>
      </c>
    </row>
    <row r="45" spans="1:10" ht="12.75">
      <c r="A45" s="41">
        <v>990494</v>
      </c>
      <c r="B45" s="30">
        <v>94542</v>
      </c>
      <c r="C45" s="29">
        <f t="shared" si="9"/>
        <v>1085036</v>
      </c>
      <c r="D45" s="29">
        <f t="shared" si="10"/>
        <v>1070212</v>
      </c>
      <c r="E45" s="20">
        <v>621292</v>
      </c>
      <c r="F45" s="30">
        <v>67060</v>
      </c>
      <c r="G45" s="29">
        <f t="shared" si="11"/>
        <v>688352</v>
      </c>
      <c r="H45" s="29">
        <f t="shared" si="12"/>
        <v>671390</v>
      </c>
      <c r="I45">
        <v>28960</v>
      </c>
      <c r="J45" s="29">
        <f t="shared" si="13"/>
        <v>700350</v>
      </c>
    </row>
    <row r="46" spans="1:10" ht="12.75">
      <c r="A46" s="41">
        <v>1035937</v>
      </c>
      <c r="B46" s="30">
        <v>87009</v>
      </c>
      <c r="C46" s="29">
        <f t="shared" si="9"/>
        <v>1122946</v>
      </c>
      <c r="D46" s="29">
        <f t="shared" si="10"/>
        <v>1107604</v>
      </c>
      <c r="E46" s="20">
        <v>648810</v>
      </c>
      <c r="F46" s="30">
        <v>62775</v>
      </c>
      <c r="G46" s="29">
        <f t="shared" si="11"/>
        <v>711585</v>
      </c>
      <c r="H46" s="29">
        <f t="shared" si="12"/>
        <v>694051</v>
      </c>
      <c r="I46">
        <v>22998</v>
      </c>
      <c r="J46" s="29">
        <f t="shared" si="13"/>
        <v>717049</v>
      </c>
    </row>
    <row r="47" spans="1:10" ht="12.75">
      <c r="A47" s="41">
        <v>1166219</v>
      </c>
      <c r="B47" s="30">
        <v>98048</v>
      </c>
      <c r="C47" s="29">
        <f t="shared" si="9"/>
        <v>1264267</v>
      </c>
      <c r="D47" s="29">
        <f t="shared" si="10"/>
        <v>1246994</v>
      </c>
      <c r="E47" s="20">
        <v>724995</v>
      </c>
      <c r="F47" s="30">
        <v>69944</v>
      </c>
      <c r="G47" s="29">
        <f t="shared" si="11"/>
        <v>794939</v>
      </c>
      <c r="H47" s="29">
        <f t="shared" si="12"/>
        <v>775351</v>
      </c>
      <c r="I47">
        <v>25676</v>
      </c>
      <c r="J47" s="29">
        <f t="shared" si="13"/>
        <v>801027</v>
      </c>
    </row>
    <row r="48" spans="1:10" ht="12.75">
      <c r="A48" s="41">
        <v>1109306</v>
      </c>
      <c r="B48" s="30">
        <v>108844</v>
      </c>
      <c r="C48" s="29">
        <f t="shared" si="9"/>
        <v>1218150</v>
      </c>
      <c r="D48" s="29">
        <f t="shared" si="10"/>
        <v>1201507</v>
      </c>
      <c r="E48" s="20">
        <v>688335</v>
      </c>
      <c r="F48" s="30">
        <v>73892</v>
      </c>
      <c r="G48" s="29">
        <f t="shared" si="11"/>
        <v>762227</v>
      </c>
      <c r="H48" s="29">
        <f t="shared" si="12"/>
        <v>743445</v>
      </c>
      <c r="I48">
        <v>29212</v>
      </c>
      <c r="J48" s="29">
        <f t="shared" si="13"/>
        <v>772657</v>
      </c>
    </row>
    <row r="49" spans="1:10" ht="12.75">
      <c r="A49" s="55">
        <v>1162597</v>
      </c>
      <c r="B49" s="31">
        <v>94407</v>
      </c>
      <c r="C49" s="29">
        <f t="shared" si="9"/>
        <v>1257004</v>
      </c>
      <c r="D49" s="29">
        <f t="shared" si="10"/>
        <v>1239830</v>
      </c>
      <c r="E49" s="39">
        <v>721145</v>
      </c>
      <c r="F49" s="31">
        <v>65183</v>
      </c>
      <c r="G49" s="29">
        <f t="shared" si="11"/>
        <v>786328</v>
      </c>
      <c r="H49" s="29">
        <f t="shared" si="12"/>
        <v>766952</v>
      </c>
      <c r="I49">
        <v>25635</v>
      </c>
      <c r="J49" s="29">
        <f t="shared" si="13"/>
        <v>792587</v>
      </c>
    </row>
    <row r="50" spans="1:13" ht="12.75">
      <c r="A50" s="20">
        <f>SUM(A38:A49)</f>
        <v>12917352</v>
      </c>
      <c r="B50" s="37" t="s">
        <v>18</v>
      </c>
      <c r="C50" s="29">
        <f>SUM(C38:C49)</f>
        <v>14072533</v>
      </c>
      <c r="D50" s="29">
        <f>SUM(D38:D49)</f>
        <v>13880269</v>
      </c>
      <c r="F50" s="37" t="s">
        <v>18</v>
      </c>
      <c r="G50" s="29">
        <f>SUM(G38:G49)</f>
        <v>8836744</v>
      </c>
      <c r="J50" s="29">
        <f>SUM(J38:J49)</f>
        <v>8934467</v>
      </c>
      <c r="M50" s="29">
        <f>C50+G50+(J50*0.55/0.3)</f>
        <v>39289133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M51"/>
  <sheetViews>
    <sheetView zoomScalePageLayoutView="0" workbookViewId="0" topLeftCell="A4">
      <selection activeCell="M24" sqref="M24:M25"/>
    </sheetView>
  </sheetViews>
  <sheetFormatPr defaultColWidth="9.140625" defaultRowHeight="12.75"/>
  <cols>
    <col min="1" max="1" width="10.140625" style="0" customWidth="1"/>
    <col min="2" max="2" width="9.7109375" style="0" customWidth="1"/>
    <col min="3" max="3" width="10.7109375" style="0" customWidth="1"/>
    <col min="4" max="4" width="11.00390625" style="0" customWidth="1"/>
    <col min="5" max="5" width="9.28125" style="0" customWidth="1"/>
    <col min="6" max="6" width="10.28125" style="0" customWidth="1"/>
    <col min="7" max="7" width="10.00390625" style="0" customWidth="1"/>
    <col min="8" max="8" width="10.28125" style="0" customWidth="1"/>
    <col min="9" max="9" width="10.00390625" style="0" customWidth="1"/>
    <col min="10" max="10" width="9.8515625" style="0" customWidth="1"/>
    <col min="11" max="11" width="8.421875" style="0" customWidth="1"/>
    <col min="13" max="13" width="12.28125" style="0" bestFit="1" customWidth="1"/>
  </cols>
  <sheetData>
    <row r="2" spans="5:6" ht="15">
      <c r="E2" s="52"/>
      <c r="F2" s="52" t="s">
        <v>0</v>
      </c>
    </row>
    <row r="3" spans="5:6" ht="15">
      <c r="E3" s="52" t="s">
        <v>42</v>
      </c>
      <c r="F3" s="52"/>
    </row>
    <row r="5" spans="2:11" ht="12.75">
      <c r="B5" s="48"/>
      <c r="C5" s="49" t="s">
        <v>40</v>
      </c>
      <c r="D5" s="49"/>
      <c r="E5" s="49" t="s">
        <v>37</v>
      </c>
      <c r="F5" s="49" t="s">
        <v>22</v>
      </c>
      <c r="G5" s="49"/>
      <c r="H5" s="49" t="s">
        <v>37</v>
      </c>
      <c r="I5" s="49" t="s">
        <v>41</v>
      </c>
      <c r="J5" s="49"/>
      <c r="K5" s="49" t="s">
        <v>37</v>
      </c>
    </row>
    <row r="6" spans="2:12" ht="12.75">
      <c r="B6" s="48" t="s">
        <v>3</v>
      </c>
      <c r="C6" s="50" t="s">
        <v>34</v>
      </c>
      <c r="D6" s="50" t="s">
        <v>39</v>
      </c>
      <c r="E6" s="50" t="s">
        <v>38</v>
      </c>
      <c r="F6" s="50" t="s">
        <v>34</v>
      </c>
      <c r="G6" s="50" t="s">
        <v>39</v>
      </c>
      <c r="H6" s="50" t="s">
        <v>38</v>
      </c>
      <c r="I6" s="50" t="s">
        <v>34</v>
      </c>
      <c r="J6" s="50" t="s">
        <v>39</v>
      </c>
      <c r="K6" s="50" t="s">
        <v>38</v>
      </c>
      <c r="L6" t="s">
        <v>36</v>
      </c>
    </row>
    <row r="7" spans="2:12" ht="12.75">
      <c r="B7" t="s">
        <v>20</v>
      </c>
      <c r="C7" s="30">
        <f>'CityCounty Sales Tax'!W7+'Use Tax'!M8</f>
        <v>1227270</v>
      </c>
      <c r="D7" s="30">
        <f>'CityCounty Sales Tax'!Y7+'Use Tax'!N8</f>
        <v>1207185</v>
      </c>
      <c r="E7" s="30">
        <f aca="true" t="shared" si="0" ref="E7:E17">C7-D7</f>
        <v>20085</v>
      </c>
      <c r="F7" s="30">
        <f>'CityCounty Sales Tax'!W30+'Use Tax'!M29</f>
        <v>767058</v>
      </c>
      <c r="G7" s="30">
        <f>'CityCounty Sales Tax'!Y30+'Use Tax'!N29</f>
        <v>779408</v>
      </c>
      <c r="H7" s="30">
        <f aca="true" t="shared" si="1" ref="H7:H17">F7-G7</f>
        <v>-12350</v>
      </c>
      <c r="I7" s="42">
        <f>'CityCounty Sales Tax'!W53+'CityCounty Sales Tax'!W73+'CityCounty Sales Tax'!W93+'Use Tax'!M50+'Use Tax'!M71+'Use Tax'!M92</f>
        <v>674998</v>
      </c>
      <c r="J7" s="42">
        <f>D7*0.55</f>
        <v>663952</v>
      </c>
      <c r="K7" s="30">
        <f aca="true" t="shared" si="2" ref="K7:K17">I7-J7</f>
        <v>11046</v>
      </c>
      <c r="L7" s="37" t="s">
        <v>18</v>
      </c>
    </row>
    <row r="8" spans="2:12" ht="12.75">
      <c r="B8" t="s">
        <v>21</v>
      </c>
      <c r="C8" s="30">
        <f>'CityCounty Sales Tax'!W8+'Use Tax'!M9</f>
        <v>1312285</v>
      </c>
      <c r="D8" s="30">
        <f>'CityCounty Sales Tax'!Y8+'Use Tax'!N9</f>
        <v>1247122</v>
      </c>
      <c r="E8" s="30">
        <f t="shared" si="0"/>
        <v>65163</v>
      </c>
      <c r="F8" s="30">
        <f>'CityCounty Sales Tax'!W31+'Use Tax'!M30</f>
        <v>824375</v>
      </c>
      <c r="G8" s="30">
        <f>'CityCounty Sales Tax'!Y31+'Use Tax'!N30</f>
        <v>785533</v>
      </c>
      <c r="H8" s="30">
        <f t="shared" si="1"/>
        <v>38842</v>
      </c>
      <c r="I8" s="42">
        <f>'CityCounty Sales Tax'!W54+'CityCounty Sales Tax'!W74+'CityCounty Sales Tax'!W94+'Use Tax'!M51+'Use Tax'!M72+'Use Tax'!M93</f>
        <v>721757</v>
      </c>
      <c r="J8" s="42">
        <f aca="true" t="shared" si="3" ref="J8:J18">D8*0.55</f>
        <v>685917</v>
      </c>
      <c r="K8" s="30">
        <f t="shared" si="2"/>
        <v>35840</v>
      </c>
      <c r="L8" s="37" t="s">
        <v>18</v>
      </c>
    </row>
    <row r="9" spans="2:12" ht="12.75">
      <c r="B9" t="s">
        <v>6</v>
      </c>
      <c r="C9" s="30">
        <f>'CityCounty Sales Tax'!W9+'Use Tax'!M10</f>
        <v>1249033</v>
      </c>
      <c r="D9" s="30">
        <f>'CityCounty Sales Tax'!Y9+'Use Tax'!N10</f>
        <v>1236891</v>
      </c>
      <c r="E9" s="30">
        <f t="shared" si="0"/>
        <v>12142</v>
      </c>
      <c r="F9" s="30">
        <f>'CityCounty Sales Tax'!W32+'Use Tax'!M31</f>
        <v>788003</v>
      </c>
      <c r="G9" s="30">
        <f>'CityCounty Sales Tax'!Y32+'Use Tax'!N31</f>
        <v>779087</v>
      </c>
      <c r="H9" s="30">
        <f t="shared" si="1"/>
        <v>8916</v>
      </c>
      <c r="I9" s="42">
        <f>'CityCounty Sales Tax'!W55+'CityCounty Sales Tax'!W75+'CityCounty Sales Tax'!W95+'Use Tax'!M52+'Use Tax'!M73+'Use Tax'!M94</f>
        <v>686967</v>
      </c>
      <c r="J9" s="42">
        <f t="shared" si="3"/>
        <v>680290</v>
      </c>
      <c r="K9" s="30">
        <f t="shared" si="2"/>
        <v>6677</v>
      </c>
      <c r="L9" s="37" t="s">
        <v>18</v>
      </c>
    </row>
    <row r="10" spans="2:12" ht="12.75">
      <c r="B10" t="s">
        <v>7</v>
      </c>
      <c r="C10" s="30">
        <f>'CityCounty Sales Tax'!W10+'Use Tax'!M11</f>
        <v>1045992</v>
      </c>
      <c r="D10" s="30">
        <f>'CityCounty Sales Tax'!Y10+'Use Tax'!N11</f>
        <v>1056293</v>
      </c>
      <c r="E10" s="30">
        <f t="shared" si="0"/>
        <v>-10301</v>
      </c>
      <c r="F10" s="30">
        <f>'CityCounty Sales Tax'!W33+'Use Tax'!M32</f>
        <v>657139</v>
      </c>
      <c r="G10" s="30">
        <f>'CityCounty Sales Tax'!Y33+'Use Tax'!N32</f>
        <v>657453</v>
      </c>
      <c r="H10" s="30">
        <f t="shared" si="1"/>
        <v>-314</v>
      </c>
      <c r="I10" s="42">
        <f>'CityCounty Sales Tax'!W56+'CityCounty Sales Tax'!W76+'CityCounty Sales Tax'!W96+'Use Tax'!M53+'Use Tax'!M74+'Use Tax'!M95</f>
        <v>575296</v>
      </c>
      <c r="J10" s="42">
        <f t="shared" si="3"/>
        <v>580961</v>
      </c>
      <c r="K10" s="30">
        <f t="shared" si="2"/>
        <v>-5665</v>
      </c>
      <c r="L10" s="37" t="s">
        <v>18</v>
      </c>
    </row>
    <row r="11" spans="2:12" ht="12.75">
      <c r="B11" t="s">
        <v>8</v>
      </c>
      <c r="C11" s="30">
        <f>'CityCounty Sales Tax'!W11+'Use Tax'!M12</f>
        <v>1225943</v>
      </c>
      <c r="D11" s="30">
        <f>'CityCounty Sales Tax'!Y11+'Use Tax'!N12</f>
        <v>1202386</v>
      </c>
      <c r="E11" s="30">
        <f t="shared" si="0"/>
        <v>23557</v>
      </c>
      <c r="F11" s="30">
        <f>'CityCounty Sales Tax'!W34+'Use Tax'!M33</f>
        <v>770919</v>
      </c>
      <c r="G11" s="30">
        <f>'CityCounty Sales Tax'!Y34+'Use Tax'!N33</f>
        <v>759441</v>
      </c>
      <c r="H11" s="30">
        <f t="shared" si="1"/>
        <v>11478</v>
      </c>
      <c r="I11" s="42">
        <f>'CityCounty Sales Tax'!W57+'CityCounty Sales Tax'!W77+'CityCounty Sales Tax'!W97+'Use Tax'!M54+'Use Tax'!M75+'Use Tax'!M96</f>
        <v>674269</v>
      </c>
      <c r="J11" s="42">
        <f t="shared" si="3"/>
        <v>661312</v>
      </c>
      <c r="K11" s="30">
        <f t="shared" si="2"/>
        <v>12957</v>
      </c>
      <c r="L11" s="37" t="s">
        <v>18</v>
      </c>
    </row>
    <row r="12" spans="2:13" ht="12.75">
      <c r="B12" t="s">
        <v>9</v>
      </c>
      <c r="C12" s="30">
        <f>'CityCounty Sales Tax'!W12+'Use Tax'!M13</f>
        <v>1208601</v>
      </c>
      <c r="D12" s="30">
        <f>'CityCounty Sales Tax'!Y12+'Use Tax'!N13</f>
        <v>1240943</v>
      </c>
      <c r="E12" s="30">
        <f t="shared" si="0"/>
        <v>-32342</v>
      </c>
      <c r="F12" s="30">
        <f>'CityCounty Sales Tax'!W35+'Use Tax'!M34</f>
        <v>762675</v>
      </c>
      <c r="G12" s="30">
        <f>'CityCounty Sales Tax'!Y35+'Use Tax'!N34</f>
        <v>784660</v>
      </c>
      <c r="H12" s="30">
        <f t="shared" si="1"/>
        <v>-21985</v>
      </c>
      <c r="I12" s="42">
        <f>'CityCounty Sales Tax'!W58+'CityCounty Sales Tax'!W78+'CityCounty Sales Tax'!W98+'Use Tax'!M55+'Use Tax'!M76+'Use Tax'!M97</f>
        <v>664731</v>
      </c>
      <c r="J12" s="42">
        <f t="shared" si="3"/>
        <v>682519</v>
      </c>
      <c r="K12" s="30">
        <f t="shared" si="2"/>
        <v>-17788</v>
      </c>
      <c r="L12" s="37" t="s">
        <v>18</v>
      </c>
      <c r="M12" s="53" t="s">
        <v>18</v>
      </c>
    </row>
    <row r="13" spans="2:12" ht="12.75">
      <c r="B13" t="s">
        <v>10</v>
      </c>
      <c r="C13" s="30">
        <f>'CityCounty Sales Tax'!W13+'Use Tax'!M14</f>
        <v>1252750</v>
      </c>
      <c r="D13" s="30">
        <f>'CityCounty Sales Tax'!Y13+'Use Tax'!N14</f>
        <v>1281230</v>
      </c>
      <c r="E13" s="30">
        <f t="shared" si="0"/>
        <v>-28480</v>
      </c>
      <c r="F13" s="30">
        <f>'CityCounty Sales Tax'!W36+'Use Tax'!M35</f>
        <v>788840</v>
      </c>
      <c r="G13" s="30">
        <f>'CityCounty Sales Tax'!Y36+'Use Tax'!N35</f>
        <v>794455</v>
      </c>
      <c r="H13" s="30">
        <f t="shared" si="1"/>
        <v>-5615</v>
      </c>
      <c r="I13" s="42">
        <f>'CityCounty Sales Tax'!W59+'CityCounty Sales Tax'!W79+'CityCounty Sales Tax'!W99+'Use Tax'!M56+'Use Tax'!M77+'Use Tax'!M98</f>
        <v>689013</v>
      </c>
      <c r="J13" s="42">
        <f t="shared" si="3"/>
        <v>704677</v>
      </c>
      <c r="K13" s="30">
        <f t="shared" si="2"/>
        <v>-15664</v>
      </c>
      <c r="L13" s="37" t="s">
        <v>18</v>
      </c>
    </row>
    <row r="14" spans="2:12" ht="12.75">
      <c r="B14" t="s">
        <v>11</v>
      </c>
      <c r="C14" s="30">
        <f>'CityCounty Sales Tax'!W14+'Use Tax'!M15</f>
        <v>1342654</v>
      </c>
      <c r="D14" s="30">
        <f>'CityCounty Sales Tax'!Y14+'Use Tax'!N15</f>
        <v>1174265</v>
      </c>
      <c r="E14" s="30">
        <f t="shared" si="0"/>
        <v>168389</v>
      </c>
      <c r="F14" s="30">
        <f>'CityCounty Sales Tax'!W37+'Use Tax'!M36</f>
        <v>852492</v>
      </c>
      <c r="G14" s="30">
        <f>'CityCounty Sales Tax'!Y37+'Use Tax'!N36</f>
        <v>749076</v>
      </c>
      <c r="H14" s="30">
        <f t="shared" si="1"/>
        <v>103416</v>
      </c>
      <c r="I14" s="42">
        <f>'CityCounty Sales Tax'!W60+'CityCounty Sales Tax'!W80+'CityCounty Sales Tax'!W100+'Use Tax'!M57+'Use Tax'!M78+'Use Tax'!M99</f>
        <v>738459</v>
      </c>
      <c r="J14" s="42">
        <f t="shared" si="3"/>
        <v>645846</v>
      </c>
      <c r="K14" s="30">
        <f t="shared" si="2"/>
        <v>92613</v>
      </c>
      <c r="L14" s="37" t="s">
        <v>18</v>
      </c>
    </row>
    <row r="15" spans="2:13" ht="12.75">
      <c r="B15" t="s">
        <v>12</v>
      </c>
      <c r="C15" s="30">
        <f>'CityCounty Sales Tax'!W15+'Use Tax'!M16</f>
        <v>1094944</v>
      </c>
      <c r="D15" s="30">
        <f>'CityCounty Sales Tax'!Y15+'Use Tax'!N16</f>
        <v>1148604</v>
      </c>
      <c r="E15" s="30">
        <f t="shared" si="0"/>
        <v>-53660</v>
      </c>
      <c r="F15" s="30">
        <f>'CityCounty Sales Tax'!W38+'Use Tax'!M37</f>
        <v>711440</v>
      </c>
      <c r="G15" s="30">
        <f>'CityCounty Sales Tax'!Y38+'Use Tax'!N37</f>
        <v>742642</v>
      </c>
      <c r="H15" s="30">
        <f t="shared" si="1"/>
        <v>-31202</v>
      </c>
      <c r="I15" s="42">
        <f>'CityCounty Sales Tax'!W61+'CityCounty Sales Tax'!W81+'CityCounty Sales Tax'!W101+'Use Tax'!M58+'Use Tax'!M79+'Use Tax'!M100</f>
        <v>602220</v>
      </c>
      <c r="J15" s="42">
        <f t="shared" si="3"/>
        <v>631732</v>
      </c>
      <c r="K15" s="30">
        <f t="shared" si="2"/>
        <v>-29512</v>
      </c>
      <c r="L15" s="37" t="s">
        <v>18</v>
      </c>
      <c r="M15" s="53" t="s">
        <v>18</v>
      </c>
    </row>
    <row r="16" spans="2:12" ht="12.75">
      <c r="B16" t="s">
        <v>13</v>
      </c>
      <c r="C16" s="30">
        <f>'CityCounty Sales Tax'!W16+'Use Tax'!M17</f>
        <v>1321176</v>
      </c>
      <c r="D16" s="30">
        <f>'CityCounty Sales Tax'!Y16+'Use Tax'!N17</f>
        <v>1294437</v>
      </c>
      <c r="E16" s="30">
        <f t="shared" si="0"/>
        <v>26739</v>
      </c>
      <c r="F16" s="30">
        <f>'CityCounty Sales Tax'!W39+'Use Tax'!M38</f>
        <v>844631</v>
      </c>
      <c r="G16" s="30">
        <f>'CityCounty Sales Tax'!Y39+'Use Tax'!N38</f>
        <v>820463</v>
      </c>
      <c r="H16" s="30">
        <f t="shared" si="1"/>
        <v>24168</v>
      </c>
      <c r="I16" s="42">
        <f>'CityCounty Sales Tax'!W62+'CityCounty Sales Tax'!W82+'CityCounty Sales Tax'!W102+'Use Tax'!M59+'Use Tax'!M80+'Use Tax'!M101</f>
        <v>726647</v>
      </c>
      <c r="J16" s="42">
        <f t="shared" si="3"/>
        <v>711940</v>
      </c>
      <c r="K16" s="30">
        <f t="shared" si="2"/>
        <v>14707</v>
      </c>
      <c r="L16" s="37" t="s">
        <v>18</v>
      </c>
    </row>
    <row r="17" spans="2:13" ht="12.75">
      <c r="B17" t="s">
        <v>14</v>
      </c>
      <c r="C17" s="30">
        <f>'CityCounty Sales Tax'!W17+'Use Tax'!M18</f>
        <v>1315968</v>
      </c>
      <c r="D17" s="30">
        <f>'CityCounty Sales Tax'!Y17+'Use Tax'!N18</f>
        <v>1175664</v>
      </c>
      <c r="E17" s="30">
        <f t="shared" si="0"/>
        <v>140304</v>
      </c>
      <c r="F17" s="30">
        <f>'CityCounty Sales Tax'!W40+'Use Tax'!M39</f>
        <v>839878</v>
      </c>
      <c r="G17" s="30">
        <f>'CityCounty Sales Tax'!Y40+'Use Tax'!N39</f>
        <v>754922</v>
      </c>
      <c r="H17" s="30">
        <f t="shared" si="1"/>
        <v>84956</v>
      </c>
      <c r="I17" s="42">
        <f>'CityCounty Sales Tax'!W63+'CityCounty Sales Tax'!W83+'CityCounty Sales Tax'!W103+'Use Tax'!M60+'Use Tax'!M81+'Use Tax'!M102</f>
        <v>723782</v>
      </c>
      <c r="J17" s="42">
        <f t="shared" si="3"/>
        <v>646615</v>
      </c>
      <c r="K17" s="30">
        <f t="shared" si="2"/>
        <v>77167</v>
      </c>
      <c r="L17" s="37" t="s">
        <v>18</v>
      </c>
      <c r="M17" s="59" t="s">
        <v>18</v>
      </c>
    </row>
    <row r="18" spans="2:12" ht="12.75">
      <c r="B18" t="s">
        <v>15</v>
      </c>
      <c r="C18" s="30" t="s">
        <v>18</v>
      </c>
      <c r="D18" s="30">
        <f>'CityCounty Sales Tax'!Y18+'Use Tax'!N19</f>
        <v>1268738</v>
      </c>
      <c r="E18" s="30" t="s">
        <v>18</v>
      </c>
      <c r="F18" s="30" t="s">
        <v>18</v>
      </c>
      <c r="G18" s="30">
        <f>'CityCounty Sales Tax'!Y41+'Use Tax'!N40</f>
        <v>804432</v>
      </c>
      <c r="H18" s="30" t="s">
        <v>18</v>
      </c>
      <c r="I18" s="42" t="s">
        <v>18</v>
      </c>
      <c r="J18" s="42">
        <f t="shared" si="3"/>
        <v>697806</v>
      </c>
      <c r="K18" s="30" t="s">
        <v>18</v>
      </c>
      <c r="L18" s="37" t="s">
        <v>18</v>
      </c>
    </row>
    <row r="19" spans="3:13" ht="12.75">
      <c r="C19" s="30">
        <f aca="true" t="shared" si="4" ref="C19:K19">SUM(C7:C18)</f>
        <v>13596616</v>
      </c>
      <c r="D19" s="30">
        <f t="shared" si="4"/>
        <v>14533758</v>
      </c>
      <c r="E19" s="30">
        <f t="shared" si="4"/>
        <v>331596</v>
      </c>
      <c r="F19" s="30">
        <f t="shared" si="4"/>
        <v>8607450</v>
      </c>
      <c r="G19" s="30">
        <f t="shared" si="4"/>
        <v>9211572</v>
      </c>
      <c r="H19" s="30">
        <f t="shared" si="4"/>
        <v>200310</v>
      </c>
      <c r="I19" s="30">
        <f t="shared" si="4"/>
        <v>7478139</v>
      </c>
      <c r="J19" s="30">
        <f t="shared" si="4"/>
        <v>7993567</v>
      </c>
      <c r="K19" s="30">
        <f t="shared" si="4"/>
        <v>182378</v>
      </c>
      <c r="L19" s="30">
        <f>E19+H19+K19</f>
        <v>714284</v>
      </c>
      <c r="M19" s="30">
        <f>D19+G19+J19</f>
        <v>31738897</v>
      </c>
    </row>
    <row r="20" ht="12.75">
      <c r="G20" s="46" t="s">
        <v>18</v>
      </c>
    </row>
    <row r="22" ht="12.75">
      <c r="B22" s="37" t="s">
        <v>39</v>
      </c>
    </row>
    <row r="23" spans="2:10" ht="12.75">
      <c r="B23" t="s">
        <v>20</v>
      </c>
      <c r="D23" s="29">
        <f>D39/1.55</f>
        <v>1224152</v>
      </c>
      <c r="G23" s="30">
        <v>764415</v>
      </c>
      <c r="I23" s="30">
        <f>D39*0.55/1.55</f>
        <v>673283</v>
      </c>
      <c r="J23" s="30"/>
    </row>
    <row r="24" spans="2:10" ht="12.75">
      <c r="B24" t="s">
        <v>21</v>
      </c>
      <c r="C24" s="17"/>
      <c r="D24" s="29">
        <f aca="true" t="shared" si="5" ref="D24:D34">D40/1.55</f>
        <v>1221599</v>
      </c>
      <c r="E24" s="17"/>
      <c r="F24" s="28"/>
      <c r="G24" s="30">
        <v>733384</v>
      </c>
      <c r="H24" s="28"/>
      <c r="I24" s="30">
        <f aca="true" t="shared" si="6" ref="I24:I34">D40*0.55/1.55</f>
        <v>671880</v>
      </c>
      <c r="J24" s="30"/>
    </row>
    <row r="25" spans="2:10" ht="12.75">
      <c r="B25" t="s">
        <v>6</v>
      </c>
      <c r="C25" s="17"/>
      <c r="D25" s="29">
        <f t="shared" si="5"/>
        <v>1193286</v>
      </c>
      <c r="E25" s="17"/>
      <c r="F25" s="28"/>
      <c r="G25" s="30">
        <v>773876</v>
      </c>
      <c r="H25" s="28"/>
      <c r="I25" s="30">
        <f t="shared" si="6"/>
        <v>656308</v>
      </c>
      <c r="J25" s="30"/>
    </row>
    <row r="26" spans="2:10" ht="12.75">
      <c r="B26" t="s">
        <v>7</v>
      </c>
      <c r="C26" s="17"/>
      <c r="D26" s="29">
        <f t="shared" si="5"/>
        <v>1042115</v>
      </c>
      <c r="E26" s="17"/>
      <c r="F26" s="28"/>
      <c r="G26" s="30">
        <v>664539</v>
      </c>
      <c r="H26" s="28"/>
      <c r="I26" s="30">
        <f t="shared" si="6"/>
        <v>573163</v>
      </c>
      <c r="J26" s="30"/>
    </row>
    <row r="27" spans="2:10" ht="12.75">
      <c r="B27" t="s">
        <v>8</v>
      </c>
      <c r="C27" s="17"/>
      <c r="D27" s="29">
        <f t="shared" si="5"/>
        <v>1194372</v>
      </c>
      <c r="E27" s="17"/>
      <c r="F27" s="28"/>
      <c r="G27" s="30">
        <v>732230</v>
      </c>
      <c r="H27" s="28"/>
      <c r="I27" s="30">
        <f t="shared" si="6"/>
        <v>656904</v>
      </c>
      <c r="J27" s="30"/>
    </row>
    <row r="28" spans="2:10" ht="12.75">
      <c r="B28" t="s">
        <v>9</v>
      </c>
      <c r="C28" s="17"/>
      <c r="D28" s="29">
        <f t="shared" si="5"/>
        <v>1171429</v>
      </c>
      <c r="E28" s="17"/>
      <c r="F28" s="28"/>
      <c r="G28" s="30">
        <v>763215</v>
      </c>
      <c r="H28" s="28"/>
      <c r="I28" s="30">
        <f t="shared" si="6"/>
        <v>644286</v>
      </c>
      <c r="J28" s="30"/>
    </row>
    <row r="29" spans="2:10" ht="12.75">
      <c r="B29" t="s">
        <v>10</v>
      </c>
      <c r="C29" s="17"/>
      <c r="D29" s="29">
        <f t="shared" si="5"/>
        <v>961614</v>
      </c>
      <c r="E29" s="17"/>
      <c r="F29" s="28"/>
      <c r="G29" s="30">
        <v>744072</v>
      </c>
      <c r="H29" s="28"/>
      <c r="I29" s="30">
        <f t="shared" si="6"/>
        <v>528887</v>
      </c>
      <c r="J29" s="30"/>
    </row>
    <row r="30" spans="2:10" ht="12.75">
      <c r="B30" t="s">
        <v>11</v>
      </c>
      <c r="D30" s="29">
        <f t="shared" si="5"/>
        <v>1187224</v>
      </c>
      <c r="F30" s="28"/>
      <c r="G30" s="30">
        <v>720451</v>
      </c>
      <c r="H30" s="28"/>
      <c r="I30" s="30">
        <f t="shared" si="6"/>
        <v>652973</v>
      </c>
      <c r="J30" s="30"/>
    </row>
    <row r="31" spans="2:10" ht="12.75">
      <c r="B31" t="s">
        <v>12</v>
      </c>
      <c r="D31" s="29">
        <f t="shared" si="5"/>
        <v>1105934</v>
      </c>
      <c r="F31" s="28"/>
      <c r="G31" s="30">
        <v>717702</v>
      </c>
      <c r="H31" s="28"/>
      <c r="I31" s="30">
        <f t="shared" si="6"/>
        <v>608263</v>
      </c>
      <c r="J31" s="30"/>
    </row>
    <row r="32" spans="2:10" ht="12.75">
      <c r="B32" t="s">
        <v>13</v>
      </c>
      <c r="D32" s="29">
        <f t="shared" si="5"/>
        <v>1168449</v>
      </c>
      <c r="F32" s="28"/>
      <c r="G32" s="30">
        <v>808213</v>
      </c>
      <c r="H32" s="28"/>
      <c r="I32" s="30">
        <f t="shared" si="6"/>
        <v>642647</v>
      </c>
      <c r="J32" s="30"/>
    </row>
    <row r="33" spans="2:10" ht="12.75">
      <c r="B33" t="s">
        <v>14</v>
      </c>
      <c r="C33" s="17"/>
      <c r="D33" s="29">
        <f t="shared" si="5"/>
        <v>1047143</v>
      </c>
      <c r="E33" s="17"/>
      <c r="F33" s="28"/>
      <c r="G33" s="30">
        <v>718253</v>
      </c>
      <c r="H33" s="28"/>
      <c r="I33" s="30">
        <f t="shared" si="6"/>
        <v>575929</v>
      </c>
      <c r="J33" s="30"/>
    </row>
    <row r="34" spans="2:10" ht="12.75">
      <c r="B34" t="s">
        <v>15</v>
      </c>
      <c r="C34" s="17"/>
      <c r="D34" s="29">
        <f t="shared" si="5"/>
        <v>1121616</v>
      </c>
      <c r="E34" s="17"/>
      <c r="F34" s="28"/>
      <c r="G34" s="30">
        <v>767269</v>
      </c>
      <c r="H34" s="28"/>
      <c r="I34" s="30">
        <f t="shared" si="6"/>
        <v>616889</v>
      </c>
      <c r="J34" s="30"/>
    </row>
    <row r="35" spans="2:13" ht="12.75">
      <c r="B35" s="28"/>
      <c r="C35" s="45"/>
      <c r="D35" s="47">
        <f>SUM(D23:D34)</f>
        <v>13638933</v>
      </c>
      <c r="E35" s="47">
        <f>SUM(D26:D34)</f>
        <v>9999896</v>
      </c>
      <c r="F35" s="28"/>
      <c r="G35" s="28">
        <f>SUM(G23:G34)</f>
        <v>8907619</v>
      </c>
      <c r="H35" s="28">
        <f>SUM(G26:G34)</f>
        <v>6635944</v>
      </c>
      <c r="I35" s="30">
        <f>SUM(I23:I34)</f>
        <v>7501412</v>
      </c>
      <c r="J35" s="30">
        <f>SUM(I26:I34)</f>
        <v>5499941</v>
      </c>
      <c r="M35" s="29">
        <f>D35+I35+G35</f>
        <v>30047964</v>
      </c>
    </row>
    <row r="36" spans="2:13" ht="12.75">
      <c r="B36" s="20"/>
      <c r="C36" s="20"/>
      <c r="D36" s="54" t="s">
        <v>18</v>
      </c>
      <c r="E36" s="54" t="s">
        <v>18</v>
      </c>
      <c r="F36" s="20"/>
      <c r="G36" s="43" t="s">
        <v>18</v>
      </c>
      <c r="H36" s="54" t="s">
        <v>18</v>
      </c>
      <c r="I36" s="54" t="s">
        <v>18</v>
      </c>
      <c r="J36" s="54" t="s">
        <v>18</v>
      </c>
      <c r="M36" s="60" t="s">
        <v>18</v>
      </c>
    </row>
    <row r="38" spans="2:8" ht="12.75">
      <c r="B38" s="29"/>
      <c r="D38" s="29"/>
      <c r="F38" s="29"/>
      <c r="G38" s="29"/>
      <c r="H38" s="29"/>
    </row>
    <row r="39" ht="12.75">
      <c r="D39" s="29">
        <v>1897435</v>
      </c>
    </row>
    <row r="40" ht="12.75">
      <c r="D40" s="29">
        <v>1893479</v>
      </c>
    </row>
    <row r="41" ht="12.75">
      <c r="D41" s="29">
        <v>1849594</v>
      </c>
    </row>
    <row r="42" ht="12.75">
      <c r="D42" s="29">
        <v>1615278</v>
      </c>
    </row>
    <row r="43" ht="12.75">
      <c r="D43" s="29">
        <v>1851276</v>
      </c>
    </row>
    <row r="44" ht="12.75">
      <c r="D44" s="29">
        <v>1815715</v>
      </c>
    </row>
    <row r="45" ht="12.75">
      <c r="D45" s="29">
        <v>1490501</v>
      </c>
    </row>
    <row r="46" ht="12.75">
      <c r="D46" s="29">
        <v>1840197</v>
      </c>
    </row>
    <row r="47" ht="12.75">
      <c r="D47" s="29">
        <v>1714197</v>
      </c>
    </row>
    <row r="48" ht="12.75">
      <c r="D48" s="29">
        <v>1811096</v>
      </c>
    </row>
    <row r="49" ht="12.75">
      <c r="D49" s="29">
        <v>1623072</v>
      </c>
    </row>
    <row r="50" ht="12.75">
      <c r="D50" s="29">
        <v>1738505</v>
      </c>
    </row>
    <row r="51" ht="12.75">
      <c r="D51" s="29">
        <f>SUM(D39:D50)</f>
        <v>21140345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Lawrence,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Mullins</dc:creator>
  <cp:keywords/>
  <dc:description/>
  <cp:lastModifiedBy>Ed Mullins</cp:lastModifiedBy>
  <cp:lastPrinted>2006-07-27T20:32:37Z</cp:lastPrinted>
  <dcterms:created xsi:type="dcterms:W3CDTF">1996-05-29T20:21:23Z</dcterms:created>
  <dcterms:modified xsi:type="dcterms:W3CDTF">2012-11-29T20:58:34Z</dcterms:modified>
  <cp:category/>
  <cp:version/>
  <cp:contentType/>
  <cp:contentStatus/>
</cp:coreProperties>
</file>